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xr:revisionPtr revIDLastSave="0" documentId="8_{D3D5371E-A34A-4363-9FDE-6DF295E883EB}" xr6:coauthVersionLast="47" xr6:coauthVersionMax="47" xr10:uidLastSave="{00000000-0000-0000-0000-000000000000}"/>
  <bookViews>
    <workbookView xWindow="-108" yWindow="-108" windowWidth="23256" windowHeight="12456" firstSheet="11" activeTab="11" xr2:uid="{75408A70-062F-45EB-B13C-14641705B0ED}"/>
  </bookViews>
  <sheets>
    <sheet name="Roll Over Projects " sheetId="2" state="hidden" r:id="rId1"/>
    <sheet name="Capex report  (updated )1902" sheetId="1" state="hidden" r:id="rId2"/>
    <sheet name="DRAFT  2025-26" sheetId="3" state="hidden" r:id="rId3"/>
    <sheet name="DRAFT  2025-26 OPEX" sheetId="4" state="hidden" r:id="rId4"/>
    <sheet name="parks " sheetId="6" state="hidden" r:id="rId5"/>
    <sheet name="opex" sheetId="5" state="hidden" r:id="rId6"/>
    <sheet name="Grants" sheetId="7" state="hidden" r:id="rId7"/>
    <sheet name="DRAFT  2025-26 OPEX (2)" sheetId="8" state="hidden" r:id="rId8"/>
    <sheet name="DRAFTCAPEX   2025-26 V1" sheetId="9" state="hidden" r:id="rId9"/>
    <sheet name="DRAFTCAPEX   2025-26 V1 (2)" sheetId="10" state="hidden" r:id="rId10"/>
    <sheet name="SUMMARY GRANTS 2025-26 DORA " sheetId="11" r:id="rId11"/>
    <sheet name="DRAFTCAPEX   2025-26 DORA " sheetId="12" r:id="rId12"/>
  </sheets>
  <externalReferences>
    <externalReference r:id="rId13"/>
    <externalReference r:id="rId14"/>
  </externalReferences>
  <definedNames>
    <definedName name="_xlnm.Print_Area" localSheetId="11">'DRAFTCAPEX   2025-26 DORA '!$A$1:$F$89</definedName>
    <definedName name="_xlnm.Print_Area" localSheetId="8">'DRAFTCAPEX   2025-26 V1'!$A$1:$G$92</definedName>
    <definedName name="_xlnm.Print_Area" localSheetId="9">'DRAFTCAPEX   2025-26 V1 (2)'!$A$1:$G$92</definedName>
    <definedName name="_xlnm.Print_Area" localSheetId="10">'SUMMARY GRANTS 2025-26 DORA '!$A$1:$E$24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5" i="12" l="1"/>
  <c r="E85" i="12"/>
  <c r="D85" i="12"/>
  <c r="F84" i="12"/>
  <c r="E84" i="12"/>
  <c r="D84" i="12"/>
  <c r="F78" i="12"/>
  <c r="F87" i="12" s="1"/>
  <c r="E78" i="12"/>
  <c r="E87" i="12" s="1"/>
  <c r="D78" i="12"/>
  <c r="D87" i="12" s="1"/>
  <c r="D77" i="12"/>
  <c r="D56" i="12"/>
  <c r="F37" i="12"/>
  <c r="E36" i="12"/>
  <c r="D36" i="12"/>
  <c r="D35" i="12"/>
  <c r="D34" i="12"/>
  <c r="D33" i="12"/>
  <c r="F32" i="12"/>
  <c r="F39" i="12" s="1"/>
  <c r="E32" i="12"/>
  <c r="E39" i="12" s="1"/>
  <c r="D32" i="12"/>
  <c r="D39" i="12" s="1"/>
  <c r="F10" i="12"/>
  <c r="F83" i="12" s="1"/>
  <c r="D9" i="12"/>
  <c r="E8" i="12"/>
  <c r="D8" i="12"/>
  <c r="D7" i="12"/>
  <c r="D6" i="12"/>
  <c r="E5" i="12"/>
  <c r="D5" i="12"/>
  <c r="E14" i="11"/>
  <c r="E16" i="11" s="1"/>
  <c r="E20" i="11" s="1"/>
  <c r="D14" i="11"/>
  <c r="D16" i="11" s="1"/>
  <c r="D20" i="11" s="1"/>
  <c r="C14" i="11"/>
  <c r="C16" i="11" s="1"/>
  <c r="C20" i="11" s="1"/>
  <c r="B8" i="11"/>
  <c r="B14" i="11" s="1"/>
  <c r="B16" i="11" s="1"/>
  <c r="E6" i="11"/>
  <c r="D6" i="11"/>
  <c r="C6" i="11"/>
  <c r="B3" i="11"/>
  <c r="B6" i="11" s="1"/>
  <c r="F85" i="10"/>
  <c r="F84" i="10"/>
  <c r="F83" i="10"/>
  <c r="E83" i="10"/>
  <c r="D83" i="10"/>
  <c r="F82" i="10"/>
  <c r="E82" i="10"/>
  <c r="D82" i="10"/>
  <c r="F81" i="10"/>
  <c r="F86" i="10" s="1"/>
  <c r="F76" i="10"/>
  <c r="F78" i="10" s="1"/>
  <c r="E76" i="10"/>
  <c r="E85" i="10" s="1"/>
  <c r="D75" i="10"/>
  <c r="D54" i="10"/>
  <c r="D76" i="10" s="1"/>
  <c r="D85" i="10" s="1"/>
  <c r="E39" i="10"/>
  <c r="E38" i="10"/>
  <c r="E84" i="10" s="1"/>
  <c r="E36" i="10"/>
  <c r="D36" i="10"/>
  <c r="D35" i="10"/>
  <c r="D34" i="10"/>
  <c r="D33" i="10"/>
  <c r="D32" i="10"/>
  <c r="D38" i="10" s="1"/>
  <c r="D31" i="10"/>
  <c r="E10" i="10"/>
  <c r="E81" i="10" s="1"/>
  <c r="E86" i="10" s="1"/>
  <c r="D9" i="10"/>
  <c r="D10" i="10" s="1"/>
  <c r="E8" i="10"/>
  <c r="D8" i="10"/>
  <c r="D7" i="10"/>
  <c r="D6" i="10"/>
  <c r="E5" i="10"/>
  <c r="D5" i="10"/>
  <c r="F85" i="9"/>
  <c r="E85" i="9"/>
  <c r="F84" i="9"/>
  <c r="F83" i="9"/>
  <c r="E83" i="9"/>
  <c r="D83" i="9"/>
  <c r="F82" i="9"/>
  <c r="E82" i="9"/>
  <c r="D82" i="9"/>
  <c r="F81" i="9"/>
  <c r="F86" i="9" s="1"/>
  <c r="F78" i="9"/>
  <c r="F76" i="9"/>
  <c r="E76" i="9"/>
  <c r="D75" i="9"/>
  <c r="D76" i="9" s="1"/>
  <c r="D85" i="9" s="1"/>
  <c r="D38" i="9"/>
  <c r="E36" i="9"/>
  <c r="E38" i="9" s="1"/>
  <c r="D36" i="9"/>
  <c r="D35" i="9"/>
  <c r="D34" i="9"/>
  <c r="D33" i="9"/>
  <c r="D32" i="9"/>
  <c r="D31" i="9"/>
  <c r="D9" i="9"/>
  <c r="E8" i="9"/>
  <c r="E10" i="9" s="1"/>
  <c r="E81" i="9" s="1"/>
  <c r="D8" i="9"/>
  <c r="D7" i="9"/>
  <c r="D10" i="9" s="1"/>
  <c r="D81" i="9" s="1"/>
  <c r="D6" i="9"/>
  <c r="E5" i="9"/>
  <c r="D5" i="9"/>
  <c r="D72" i="8"/>
  <c r="D73" i="8" s="1"/>
  <c r="E34" i="8"/>
  <c r="E36" i="8" s="1"/>
  <c r="D34" i="8"/>
  <c r="D33" i="8"/>
  <c r="D32" i="8"/>
  <c r="D31" i="8"/>
  <c r="D36" i="8" s="1"/>
  <c r="D30" i="8"/>
  <c r="D29" i="8"/>
  <c r="D9" i="8"/>
  <c r="E8" i="8"/>
  <c r="D8" i="8"/>
  <c r="D7" i="8"/>
  <c r="D6" i="8"/>
  <c r="E5" i="8"/>
  <c r="E10" i="8" s="1"/>
  <c r="D5" i="8"/>
  <c r="D13" i="7"/>
  <c r="D18" i="7" s="1"/>
  <c r="C13" i="7"/>
  <c r="C18" i="7" s="1"/>
  <c r="B13" i="7"/>
  <c r="B18" i="7" s="1"/>
  <c r="C11" i="7"/>
  <c r="C20" i="7" s="1"/>
  <c r="B11" i="7"/>
  <c r="B20" i="7" s="1"/>
  <c r="D8" i="7"/>
  <c r="D11" i="7" s="1"/>
  <c r="D20" i="7" s="1"/>
  <c r="C8" i="7"/>
  <c r="B8" i="7"/>
  <c r="D71" i="4"/>
  <c r="D72" i="4" s="1"/>
  <c r="E34" i="4"/>
  <c r="E36" i="4" s="1"/>
  <c r="D34" i="4"/>
  <c r="D33" i="4"/>
  <c r="D32" i="4"/>
  <c r="D31" i="4"/>
  <c r="D30" i="4"/>
  <c r="D36" i="4" s="1"/>
  <c r="D29" i="4"/>
  <c r="D9" i="4"/>
  <c r="E8" i="4"/>
  <c r="D8" i="4"/>
  <c r="D7" i="4"/>
  <c r="D6" i="4"/>
  <c r="E5" i="4"/>
  <c r="E10" i="4" s="1"/>
  <c r="D5" i="4"/>
  <c r="D10" i="4" s="1"/>
  <c r="C76" i="3"/>
  <c r="C72" i="3"/>
  <c r="C71" i="3"/>
  <c r="C65" i="3"/>
  <c r="C33" i="3"/>
  <c r="C34" i="3" s="1"/>
  <c r="A33" i="3"/>
  <c r="C26" i="3"/>
  <c r="A26" i="3"/>
  <c r="E24" i="3"/>
  <c r="C23" i="3"/>
  <c r="C22" i="3"/>
  <c r="C21" i="3"/>
  <c r="C17" i="3"/>
  <c r="C16" i="3"/>
  <c r="C6" i="3"/>
  <c r="C11" i="3" s="1"/>
  <c r="A6" i="3"/>
  <c r="C102" i="1"/>
  <c r="F97" i="1"/>
  <c r="D97" i="1"/>
  <c r="C97" i="1"/>
  <c r="G95" i="1"/>
  <c r="F95" i="1"/>
  <c r="G94" i="1"/>
  <c r="F94" i="1"/>
  <c r="E90" i="1"/>
  <c r="D88" i="1"/>
  <c r="F88" i="1" s="1"/>
  <c r="C88" i="1"/>
  <c r="H88" i="1" s="1"/>
  <c r="D86" i="1"/>
  <c r="G85" i="1"/>
  <c r="D85" i="1"/>
  <c r="F85" i="1" s="1"/>
  <c r="C85" i="1"/>
  <c r="H85" i="1" s="1"/>
  <c r="G80" i="1"/>
  <c r="F80" i="1"/>
  <c r="E80" i="1"/>
  <c r="D80" i="1"/>
  <c r="C80" i="1"/>
  <c r="H79" i="1"/>
  <c r="H78" i="1"/>
  <c r="G78" i="1"/>
  <c r="F78" i="1"/>
  <c r="D78" i="1"/>
  <c r="D77" i="1"/>
  <c r="E72" i="1"/>
  <c r="E89" i="1" s="1"/>
  <c r="D65" i="1"/>
  <c r="D72" i="1" s="1"/>
  <c r="D89" i="1" s="1"/>
  <c r="G64" i="1"/>
  <c r="H64" i="1" s="1"/>
  <c r="F64" i="1"/>
  <c r="H62" i="1"/>
  <c r="C61" i="1"/>
  <c r="C60" i="1"/>
  <c r="G59" i="1"/>
  <c r="H59" i="1" s="1"/>
  <c r="C59" i="1"/>
  <c r="F59" i="1" s="1"/>
  <c r="K58" i="1"/>
  <c r="C58" i="1"/>
  <c r="C57" i="1"/>
  <c r="H57" i="1" s="1"/>
  <c r="G56" i="1"/>
  <c r="H56" i="1" s="1"/>
  <c r="C56" i="1"/>
  <c r="F56" i="1" s="1"/>
  <c r="C55" i="1"/>
  <c r="G54" i="1"/>
  <c r="H54" i="1" s="1"/>
  <c r="F54" i="1"/>
  <c r="C54" i="1"/>
  <c r="G53" i="1"/>
  <c r="H53" i="1" s="1"/>
  <c r="C53" i="1"/>
  <c r="F53" i="1" s="1"/>
  <c r="C51" i="1"/>
  <c r="C50" i="1"/>
  <c r="G49" i="1"/>
  <c r="H49" i="1" s="1"/>
  <c r="C49" i="1"/>
  <c r="F49" i="1" s="1"/>
  <c r="F48" i="1"/>
  <c r="C48" i="1"/>
  <c r="C47" i="1"/>
  <c r="G46" i="1"/>
  <c r="H46" i="1" s="1"/>
  <c r="C46" i="1"/>
  <c r="F46" i="1" s="1"/>
  <c r="C45" i="1"/>
  <c r="G44" i="1"/>
  <c r="H44" i="1" s="1"/>
  <c r="F44" i="1"/>
  <c r="C44" i="1"/>
  <c r="G43" i="1"/>
  <c r="H43" i="1" s="1"/>
  <c r="F43" i="1"/>
  <c r="G42" i="1"/>
  <c r="H42" i="1" s="1"/>
  <c r="C41" i="1"/>
  <c r="C40" i="1"/>
  <c r="E34" i="1"/>
  <c r="D34" i="1"/>
  <c r="C33" i="1"/>
  <c r="A33" i="1"/>
  <c r="G27" i="1"/>
  <c r="E27" i="1"/>
  <c r="E28" i="1" s="1"/>
  <c r="E70" i="1" s="1"/>
  <c r="E73" i="1" s="1"/>
  <c r="D27" i="1"/>
  <c r="D28" i="1" s="1"/>
  <c r="C27" i="1"/>
  <c r="H26" i="1"/>
  <c r="F26" i="1"/>
  <c r="C26" i="1"/>
  <c r="A26" i="1"/>
  <c r="H25" i="1"/>
  <c r="F25" i="1"/>
  <c r="P24" i="1"/>
  <c r="H24" i="1"/>
  <c r="F24" i="1"/>
  <c r="C23" i="1"/>
  <c r="H23" i="1" s="1"/>
  <c r="H22" i="1"/>
  <c r="F22" i="1"/>
  <c r="C22" i="1"/>
  <c r="H21" i="1"/>
  <c r="C21" i="1"/>
  <c r="F21" i="1" s="1"/>
  <c r="D17" i="1"/>
  <c r="F17" i="1" s="1"/>
  <c r="C17" i="1"/>
  <c r="G16" i="1"/>
  <c r="F16" i="1"/>
  <c r="C16" i="1"/>
  <c r="H15" i="1"/>
  <c r="D15" i="1"/>
  <c r="F15" i="1" s="1"/>
  <c r="E11" i="1"/>
  <c r="E69" i="1" s="1"/>
  <c r="D11" i="1"/>
  <c r="D69" i="1" s="1"/>
  <c r="C11" i="1"/>
  <c r="H10" i="1"/>
  <c r="H9" i="1"/>
  <c r="H8" i="1"/>
  <c r="H7" i="1"/>
  <c r="C6" i="1"/>
  <c r="H6" i="1" s="1"/>
  <c r="A6" i="1"/>
  <c r="H5" i="1"/>
  <c r="F5" i="1"/>
  <c r="G4" i="1"/>
  <c r="G11" i="1" s="1"/>
  <c r="G69" i="1" s="1"/>
  <c r="F4" i="1"/>
  <c r="C42" i="2"/>
  <c r="D42" i="2" s="1"/>
  <c r="B42" i="2"/>
  <c r="E40" i="2"/>
  <c r="D40" i="2"/>
  <c r="E33" i="2"/>
  <c r="C33" i="2"/>
  <c r="B33" i="2"/>
  <c r="C32" i="2"/>
  <c r="C35" i="2" s="1"/>
  <c r="C43" i="2" s="1"/>
  <c r="B32" i="2"/>
  <c r="B35" i="2" s="1"/>
  <c r="B43" i="2" s="1"/>
  <c r="F27" i="2"/>
  <c r="F33" i="2" s="1"/>
  <c r="D27" i="2"/>
  <c r="D33" i="2" s="1"/>
  <c r="F25" i="2"/>
  <c r="D25" i="2"/>
  <c r="C24" i="2"/>
  <c r="B24" i="2"/>
  <c r="F23" i="2"/>
  <c r="D23" i="2"/>
  <c r="F22" i="2"/>
  <c r="D22" i="2"/>
  <c r="F21" i="2"/>
  <c r="E21" i="2"/>
  <c r="D21" i="2"/>
  <c r="E20" i="2"/>
  <c r="F20" i="2" s="1"/>
  <c r="D20" i="2"/>
  <c r="E19" i="2"/>
  <c r="F19" i="2" s="1"/>
  <c r="D19" i="2"/>
  <c r="E18" i="2"/>
  <c r="F18" i="2" s="1"/>
  <c r="D18" i="2"/>
  <c r="F17" i="2"/>
  <c r="D17" i="2"/>
  <c r="F16" i="2"/>
  <c r="D16" i="2"/>
  <c r="E15" i="2"/>
  <c r="F15" i="2" s="1"/>
  <c r="D15" i="2"/>
  <c r="F14" i="2"/>
  <c r="E14" i="2"/>
  <c r="D14" i="2"/>
  <c r="E13" i="2"/>
  <c r="F13" i="2" s="1"/>
  <c r="D13" i="2"/>
  <c r="E12" i="2"/>
  <c r="F12" i="2" s="1"/>
  <c r="D12" i="2"/>
  <c r="F11" i="2"/>
  <c r="D11" i="2"/>
  <c r="E10" i="2"/>
  <c r="F10" i="2" s="1"/>
  <c r="D10" i="2"/>
  <c r="F9" i="2"/>
  <c r="E9" i="2"/>
  <c r="D9" i="2"/>
  <c r="F8" i="2"/>
  <c r="E8" i="2"/>
  <c r="D8" i="2"/>
  <c r="E7" i="2"/>
  <c r="F7" i="2" s="1"/>
  <c r="D7" i="2"/>
  <c r="J6" i="2"/>
  <c r="F6" i="2"/>
  <c r="D6" i="2"/>
  <c r="C65" i="1" l="1"/>
  <c r="H40" i="1"/>
  <c r="F40" i="1"/>
  <c r="H47" i="1"/>
  <c r="E84" i="9"/>
  <c r="E86" i="9" s="1"/>
  <c r="E78" i="9"/>
  <c r="E39" i="9"/>
  <c r="F11" i="1"/>
  <c r="F69" i="1" s="1"/>
  <c r="C28" i="1"/>
  <c r="H27" i="1"/>
  <c r="D24" i="2"/>
  <c r="D32" i="2" s="1"/>
  <c r="D35" i="2" s="1"/>
  <c r="D43" i="2"/>
  <c r="D87" i="1"/>
  <c r="D70" i="1"/>
  <c r="D73" i="1" s="1"/>
  <c r="D81" i="1" s="1"/>
  <c r="F23" i="1"/>
  <c r="F27" i="1" s="1"/>
  <c r="F28" i="1" s="1"/>
  <c r="F70" i="1" s="1"/>
  <c r="G17" i="1"/>
  <c r="G28" i="1" s="1"/>
  <c r="H16" i="1"/>
  <c r="G60" i="1"/>
  <c r="H60" i="1" s="1"/>
  <c r="F60" i="1"/>
  <c r="D81" i="10"/>
  <c r="D39" i="10"/>
  <c r="G45" i="1"/>
  <c r="H45" i="1" s="1"/>
  <c r="G55" i="1"/>
  <c r="F55" i="1"/>
  <c r="H55" i="1"/>
  <c r="D84" i="9"/>
  <c r="D86" i="9" s="1"/>
  <c r="D78" i="9"/>
  <c r="D39" i="9"/>
  <c r="F45" i="1"/>
  <c r="F50" i="1"/>
  <c r="D86" i="12"/>
  <c r="G50" i="1"/>
  <c r="H50" i="1" s="1"/>
  <c r="E40" i="12"/>
  <c r="E86" i="12"/>
  <c r="E80" i="12"/>
  <c r="F41" i="1"/>
  <c r="G61" i="1"/>
  <c r="F61" i="1"/>
  <c r="H61" i="1"/>
  <c r="F40" i="12"/>
  <c r="F86" i="12"/>
  <c r="F88" i="12" s="1"/>
  <c r="C69" i="1"/>
  <c r="H11" i="1"/>
  <c r="H69" i="1" s="1"/>
  <c r="G41" i="1"/>
  <c r="G51" i="1"/>
  <c r="H51" i="1" s="1"/>
  <c r="F57" i="1"/>
  <c r="F47" i="1"/>
  <c r="F51" i="1"/>
  <c r="H80" i="1"/>
  <c r="D10" i="12"/>
  <c r="D83" i="12" s="1"/>
  <c r="D88" i="12" s="1"/>
  <c r="F24" i="2"/>
  <c r="F32" i="2" s="1"/>
  <c r="F35" i="2" s="1"/>
  <c r="C71" i="1"/>
  <c r="C34" i="1"/>
  <c r="H33" i="1"/>
  <c r="G47" i="1"/>
  <c r="G58" i="1"/>
  <c r="H58" i="1"/>
  <c r="D10" i="8"/>
  <c r="E10" i="12"/>
  <c r="E83" i="12" s="1"/>
  <c r="H4" i="1"/>
  <c r="F33" i="1"/>
  <c r="F34" i="1" s="1"/>
  <c r="F58" i="1"/>
  <c r="E81" i="1"/>
  <c r="C27" i="3"/>
  <c r="C28" i="3" s="1"/>
  <c r="D84" i="10"/>
  <c r="D78" i="10"/>
  <c r="G33" i="1"/>
  <c r="G34" i="1" s="1"/>
  <c r="G48" i="1"/>
  <c r="H48" i="1"/>
  <c r="F80" i="12"/>
  <c r="E24" i="2"/>
  <c r="E32" i="2" s="1"/>
  <c r="E35" i="2" s="1"/>
  <c r="F6" i="1"/>
  <c r="E78" i="10"/>
  <c r="C87" i="1" l="1"/>
  <c r="C70" i="1"/>
  <c r="C86" i="1"/>
  <c r="H71" i="1"/>
  <c r="F71" i="1"/>
  <c r="F73" i="1" s="1"/>
  <c r="F81" i="1" s="1"/>
  <c r="G65" i="1"/>
  <c r="G72" i="1" s="1"/>
  <c r="G89" i="1" s="1"/>
  <c r="G87" i="1"/>
  <c r="G90" i="1" s="1"/>
  <c r="G70" i="1"/>
  <c r="G73" i="1" s="1"/>
  <c r="G81" i="1" s="1"/>
  <c r="C73" i="1"/>
  <c r="C81" i="1" s="1"/>
  <c r="H41" i="1"/>
  <c r="H17" i="1"/>
  <c r="H28" i="1" s="1"/>
  <c r="H70" i="1" s="1"/>
  <c r="E88" i="12"/>
  <c r="D80" i="12"/>
  <c r="F87" i="1"/>
  <c r="D90" i="1"/>
  <c r="D98" i="1" s="1"/>
  <c r="D40" i="12"/>
  <c r="H65" i="1"/>
  <c r="C72" i="1"/>
  <c r="F65" i="1"/>
  <c r="F72" i="1" s="1"/>
  <c r="F89" i="1" s="1"/>
  <c r="D86" i="10"/>
  <c r="C89" i="1" l="1"/>
  <c r="H72" i="1"/>
  <c r="H89" i="1" s="1"/>
  <c r="H86" i="1"/>
  <c r="H90" i="1" s="1"/>
  <c r="C90" i="1"/>
  <c r="C98" i="1" s="1"/>
  <c r="F98" i="1" s="1"/>
  <c r="F86" i="1"/>
  <c r="F90" i="1" s="1"/>
  <c r="H73" i="1" l="1"/>
  <c r="H8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Lesego Matlwa</author>
  </authors>
  <commentList>
    <comment ref="A37" authorId="0" shapeId="0" xr:uid="{519DF9C1-5A7D-444F-88FD-B87B6D3BB337}">
      <text>
        <r>
          <rPr>
            <b/>
            <sz val="9"/>
            <color indexed="81"/>
            <rFont val="Tahoma"/>
            <family val="2"/>
          </rPr>
          <t>Lesego Matlwa: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<sst xmlns="http://schemas.openxmlformats.org/spreadsheetml/2006/main" count="1261" uniqueCount="246">
  <si>
    <t>CAPITAL PROJECTS - MIG</t>
  </si>
  <si>
    <t>Description</t>
  </si>
  <si>
    <t>Budget 2024/25</t>
  </si>
  <si>
    <t>YTD ACTUAL  November  2024</t>
  </si>
  <si>
    <t xml:space="preserve">% Spending </t>
  </si>
  <si>
    <t xml:space="preserve">Adjustment Budget </t>
  </si>
  <si>
    <t xml:space="preserve">Variance </t>
  </si>
  <si>
    <t xml:space="preserve">Motivation </t>
  </si>
  <si>
    <t>Sefitlhogo Access Road</t>
  </si>
  <si>
    <t xml:space="preserve">Change  in implementation plan </t>
  </si>
  <si>
    <t>Refurbishment of Thabo Mbeki Stadium</t>
  </si>
  <si>
    <t xml:space="preserve">GA - Seleka Wipoort  RWS </t>
  </si>
  <si>
    <t xml:space="preserve">Highmast installation in Various villages  16 Highmast </t>
  </si>
  <si>
    <t xml:space="preserve">Extension and Augmentation </t>
  </si>
  <si>
    <t>Thabo Mbeki  sewer net work phase 2</t>
  </si>
  <si>
    <t>Total</t>
  </si>
  <si>
    <t>CAPITAL PROJECTS - WSIG DORA Allocation</t>
  </si>
  <si>
    <t>Marapong Bulk Water Supply Storage</t>
  </si>
  <si>
    <t>Marapong Bulk</t>
  </si>
  <si>
    <t>CAPITAL PROJECTS - WSIG Schedule 6B</t>
  </si>
  <si>
    <r>
      <t xml:space="preserve">REPLACEMENT OF ASBESTOS CEMENT PIPE (AC) TO HDPE/uPVC WATER PIPES IN </t>
    </r>
    <r>
      <rPr>
        <sz val="11"/>
        <color theme="1"/>
        <rFont val="Aptos Narrow"/>
        <family val="2"/>
        <scheme val="minor"/>
      </rPr>
      <t xml:space="preserve">LEPHALALE CBD </t>
    </r>
  </si>
  <si>
    <t xml:space="preserve">Botlhabatsatsi </t>
  </si>
  <si>
    <r>
      <t>Replacement of Asbestos cement pipe (ac) to HDPE/uPVC water pipes in onverwacht</t>
    </r>
    <r>
      <rPr>
        <sz val="11"/>
        <color theme="1"/>
        <rFont val="Aptos Narrow"/>
        <family val="2"/>
        <scheme val="minor"/>
      </rPr>
      <t xml:space="preserve"> (section B)</t>
    </r>
  </si>
  <si>
    <t xml:space="preserve">amibase water </t>
  </si>
  <si>
    <t xml:space="preserve">Replacement of Asbestos cement pipe (ac) to HDPE/uPVC water pipes in Town - Residential </t>
  </si>
  <si>
    <t xml:space="preserve">New genesis </t>
  </si>
  <si>
    <r>
      <t xml:space="preserve">Replacement of Asbestos Cement Pipe(AC) to HDPE/uPVC Water pipes in </t>
    </r>
    <r>
      <rPr>
        <sz val="11"/>
        <color theme="1"/>
        <rFont val="Aptos Narrow"/>
        <family val="2"/>
        <scheme val="minor"/>
      </rPr>
      <t>Onverwacht (Section B)</t>
    </r>
  </si>
  <si>
    <t xml:space="preserve"> Schedule 5b project not transferred </t>
  </si>
  <si>
    <r>
      <t>0573_Refurbishment and Upgrading of sewer pump stations,Network pipes and Replacement of AC pipes in</t>
    </r>
    <r>
      <rPr>
        <sz val="11"/>
        <color theme="1"/>
        <rFont val="Aptos Narrow"/>
        <family val="2"/>
        <scheme val="minor"/>
      </rPr>
      <t xml:space="preserve"> Town and Onverwacht</t>
    </r>
  </si>
  <si>
    <t xml:space="preserve">Amibase  sewer </t>
  </si>
  <si>
    <t xml:space="preserve">Sub Total </t>
  </si>
  <si>
    <t xml:space="preserve">Total WSIG </t>
  </si>
  <si>
    <t xml:space="preserve"> shedule 5b project not transferred </t>
  </si>
  <si>
    <t>CAPITAL PROJECTS - ENERGY EFFECIENCY DORA Allocation</t>
  </si>
  <si>
    <t>CAPITAL PROJECTS - Own Funding</t>
  </si>
  <si>
    <t>IT Equipments 2022</t>
  </si>
  <si>
    <t>0540_Road resealing</t>
  </si>
  <si>
    <t xml:space="preserve">Land acquisition </t>
  </si>
  <si>
    <t>0553_Replacement of Switch Gears X2</t>
  </si>
  <si>
    <t>Supply ,deIlvery ,offlaoding and instalation of Jojo  Tanks in various  Villages</t>
  </si>
  <si>
    <t>0101_Mayoral Vehicle 2</t>
  </si>
  <si>
    <t>Conduct an assessment  and compile technical report for Shogoane  Water Scheme</t>
  </si>
  <si>
    <t>Conduct an assessment and compile technical report for Ga-Seleka water scheme</t>
  </si>
  <si>
    <t>Purchase of 1 X  LDV Vehicle (Sanitation )</t>
  </si>
  <si>
    <t>Purchase of 1 X  LDV Vehicle (Mechanical )</t>
  </si>
  <si>
    <t xml:space="preserve">Sewer PipeLine  inspection Camera </t>
  </si>
  <si>
    <t xml:space="preserve">Branding of Entrance to Town </t>
  </si>
  <si>
    <t>Mokuruanyane and Shongwane RWS phase  5</t>
  </si>
  <si>
    <t>Electricification of various Villages</t>
  </si>
  <si>
    <t>Installation and upgrade of  recording system in the council chamber</t>
  </si>
  <si>
    <t xml:space="preserve">10 x 30 Cubic  meter Skip Bins </t>
  </si>
  <si>
    <t xml:space="preserve">Purchasing of x6 Walk behind Loan mower machines </t>
  </si>
  <si>
    <t>Purchasing 1 x Road marking machine</t>
  </si>
  <si>
    <t xml:space="preserve">Price adjustment </t>
  </si>
  <si>
    <t>Purchase pf 2 x Lawn mowers</t>
  </si>
  <si>
    <t>Purchase of 6 x Chainsaws</t>
  </si>
  <si>
    <t>Purchase of 4 x Chain pole pruners</t>
  </si>
  <si>
    <t xml:space="preserve">Purchase OF 1x  Breatherlisor </t>
  </si>
  <si>
    <t xml:space="preserve">Mobile   walk through detector </t>
  </si>
  <si>
    <t xml:space="preserve">Furniture  safe Room Furniture </t>
  </si>
  <si>
    <t>0307_Office Equipments</t>
  </si>
  <si>
    <t>TOTAL CAPITAL EXPENDITURE</t>
  </si>
  <si>
    <t>Narrations</t>
  </si>
  <si>
    <t>MIG</t>
  </si>
  <si>
    <t>WSIG</t>
  </si>
  <si>
    <t>Energy Effecience</t>
  </si>
  <si>
    <t>Own Funding</t>
  </si>
  <si>
    <t>Adjustment due to Price increases  and More lap tops required</t>
  </si>
  <si>
    <t>TOTAL CAPITAL EXPENDITURE-Roll Over</t>
  </si>
  <si>
    <t xml:space="preserve"> Disaster Relief Grant </t>
  </si>
  <si>
    <t>Price adjustments &amp; Budget  for Weighbridge deferred to 2025/26 - Department of Road and Transport as are busy with the  feasibility studies  of  weighbridges for the Limpopo Province.</t>
  </si>
  <si>
    <t xml:space="preserve">TOTAL CAPEX  BUDGET + ROLL OVER </t>
  </si>
  <si>
    <t>Energy Effeciency</t>
  </si>
  <si>
    <t>WSIG(Schedule 6B)</t>
  </si>
  <si>
    <t>Disaster Grant  Relief</t>
  </si>
  <si>
    <t xml:space="preserve">Price adjustments ,Laptsos required and   Weighbridge refurb  defferred to 2025/26  Department of Road and Transport is conducting   feasibility studies  for the Province </t>
  </si>
  <si>
    <t>TOTAL</t>
  </si>
  <si>
    <t xml:space="preserve">Operational Projects </t>
  </si>
  <si>
    <t>Onverwacth Technical report</t>
  </si>
  <si>
    <t>Revision of Spatial Framework</t>
  </si>
  <si>
    <t>Marapong roads and Storm Water</t>
  </si>
  <si>
    <t>SUB TOTAL</t>
  </si>
  <si>
    <t>Actual 2023/24</t>
  </si>
  <si>
    <t>Approved Fund WS</t>
  </si>
  <si>
    <t xml:space="preserve">Dora WSIG </t>
  </si>
  <si>
    <t>Budjet 2024/25</t>
  </si>
  <si>
    <t xml:space="preserve">VARIANCE </t>
  </si>
  <si>
    <t>Roll over Projects - Own Funding</t>
  </si>
  <si>
    <t>YTD November</t>
  </si>
  <si>
    <t xml:space="preserve">Adjustment </t>
  </si>
  <si>
    <t>Variance ADJ</t>
  </si>
  <si>
    <t>Credit control system</t>
  </si>
  <si>
    <t xml:space="preserve">Funded under operational  cost </t>
  </si>
  <si>
    <t>Conduct security assessment of all strategic assets and implement appropriate security measures to protect the assets</t>
  </si>
  <si>
    <t xml:space="preserve">Revision of Spatial Development Framework </t>
  </si>
  <si>
    <t>Revison  of Land use Scheme</t>
  </si>
  <si>
    <t>Fencing of storage facilities</t>
  </si>
  <si>
    <t xml:space="preserve">OR TAMBO </t>
  </si>
  <si>
    <t>Mokuruanyane and Shongwane RWS phase 4 &amp; 5</t>
  </si>
  <si>
    <t>New Project Strong room</t>
  </si>
  <si>
    <t>_0553_2 Highmast Lights Phahladira</t>
  </si>
  <si>
    <t xml:space="preserve">Thabo Mbeki Sewer Network Sanitation </t>
  </si>
  <si>
    <t>0540_TLB+Detagible Broom</t>
  </si>
  <si>
    <t>0540_Marapong Roads &amp; Storm water Technical report</t>
  </si>
  <si>
    <t>0540-Onverwacht Roads-Technical report</t>
  </si>
  <si>
    <t>0573_Maintenance and Closing of the ring Circuits+12</t>
  </si>
  <si>
    <t xml:space="preserve">Budget  adjustment </t>
  </si>
  <si>
    <t>Supply,Delivery and off - Loading and licencing of Sewer Unblocking machine</t>
  </si>
  <si>
    <t>Weigh bridge system operationalize</t>
  </si>
  <si>
    <t xml:space="preserve">Budget is deffered to next Year </t>
  </si>
  <si>
    <t>Roll over Projects - Grants Funding</t>
  </si>
  <si>
    <t>Disaster Grants Relieve</t>
  </si>
  <si>
    <t xml:space="preserve">DESCRIPTION </t>
  </si>
  <si>
    <t>Grants Funding - Disaster Relieve</t>
  </si>
  <si>
    <t xml:space="preserve">Laptops for new  staff </t>
  </si>
  <si>
    <t xml:space="preserve">fund transferred to Road reasealling </t>
  </si>
  <si>
    <t>Strategic</t>
  </si>
  <si>
    <t xml:space="preserve">Drone </t>
  </si>
  <si>
    <t xml:space="preserve">Camera </t>
  </si>
  <si>
    <t xml:space="preserve">DEPARTMENT </t>
  </si>
  <si>
    <t xml:space="preserve">Special Projects .Office of the Mayor Projects </t>
  </si>
  <si>
    <t xml:space="preserve">Stapend 8 Trafic Officers </t>
  </si>
  <si>
    <t xml:space="preserve">Training </t>
  </si>
  <si>
    <t>Supply and delivery of Asbestos Cutting Machine</t>
  </si>
  <si>
    <t>Supply and delivery of Dicing Machine (100mm)</t>
  </si>
  <si>
    <t xml:space="preserve">Review Water and Conservation and Water Management Strategy </t>
  </si>
  <si>
    <t>Installation of palisade fencing for Storage facilities and Pump Stations</t>
  </si>
  <si>
    <t xml:space="preserve">Replacement Of Asbestos Cement Pipe (AC) In Marapong (Zone 2) </t>
  </si>
  <si>
    <t xml:space="preserve">Replacement Of Asbestos Cement Pipe (AC) In Onverwacht (Section C) </t>
  </si>
  <si>
    <t xml:space="preserve">Replacement Of Asbestos Cement Pipe (AC) In Marapong (Zone 1) </t>
  </si>
  <si>
    <t xml:space="preserve">Replacement Of Asbestos Cement Pipe (AC) To In Onverwacht (Section A) </t>
  </si>
  <si>
    <t xml:space="preserve">Construction of Marapong Bulk water Supply Project </t>
  </si>
  <si>
    <t xml:space="preserve">TOTAL </t>
  </si>
  <si>
    <t>30 Highmast lights installation at various villages</t>
  </si>
  <si>
    <t xml:space="preserve">Replacement of faulty or tempered meters </t>
  </si>
  <si>
    <t xml:space="preserve">Electricity </t>
  </si>
  <si>
    <t xml:space="preserve">Construction of King Bird line </t>
  </si>
  <si>
    <t>Installation of Statistical meters at all distribution points</t>
  </si>
  <si>
    <t xml:space="preserve">Replacement of switchgears </t>
  </si>
  <si>
    <t>LLM</t>
  </si>
  <si>
    <t xml:space="preserve">LLM </t>
  </si>
  <si>
    <t xml:space="preserve">Electrification of 1096 households at various villages </t>
  </si>
  <si>
    <t>Energy Efficiency and Demand Side Management</t>
  </si>
  <si>
    <t>INEP</t>
  </si>
  <si>
    <t>DMRE</t>
  </si>
  <si>
    <t>Refurbishment of internal Electrical network</t>
  </si>
  <si>
    <t>Relocation of Server</t>
  </si>
  <si>
    <t xml:space="preserve">Office Equipments &amp; Furniture </t>
  </si>
  <si>
    <t xml:space="preserve">Corporate </t>
  </si>
  <si>
    <t xml:space="preserve">IT Equipments </t>
  </si>
  <si>
    <t>8 Ton Towing Truck</t>
  </si>
  <si>
    <t xml:space="preserve">Diagnostic Machine for Light Mothor Vehicles and Trucks </t>
  </si>
  <si>
    <t>Two Hoist Lift</t>
  </si>
  <si>
    <t xml:space="preserve">Fleet </t>
  </si>
  <si>
    <t xml:space="preserve">2025-26 </t>
  </si>
  <si>
    <t xml:space="preserve">2026-27 </t>
  </si>
  <si>
    <t>2027 -28</t>
  </si>
  <si>
    <t xml:space="preserve">Establish township at Steenbokpan, township establishment process including the opening of the township register and its declaration </t>
  </si>
  <si>
    <t xml:space="preserve">Planning </t>
  </si>
  <si>
    <t xml:space="preserve">Rezoning of Park </t>
  </si>
  <si>
    <t>Technical  report for  Urbarn development</t>
  </si>
  <si>
    <t xml:space="preserve">Installation of Solar energy systems  in Municipal properties, parks stadiums, halls, and satellite offices - Civic Centre </t>
  </si>
  <si>
    <t>Letlora access road</t>
  </si>
  <si>
    <t>Upgrading of Ben Matsoma road in Marapong</t>
  </si>
  <si>
    <t>R7,5M</t>
  </si>
  <si>
    <t>NDMC</t>
  </si>
  <si>
    <t>Rehabilitate of Setateng (Shongoane 1) access road</t>
  </si>
  <si>
    <t>R6,275M</t>
  </si>
  <si>
    <t>Construction of Nikara cemetery low level bridge</t>
  </si>
  <si>
    <t>R950 000</t>
  </si>
  <si>
    <t>Construction of Motlhasedi low level bridge</t>
  </si>
  <si>
    <t>Construction of Mmatladi low level bridge</t>
  </si>
  <si>
    <t>Construction of Bangalong low level bridge</t>
  </si>
  <si>
    <t>Construction of Kgobagodimo low level bridge</t>
  </si>
  <si>
    <t xml:space="preserve">Public  works </t>
  </si>
  <si>
    <t>Water</t>
  </si>
  <si>
    <t>Construction of Phahladira low level bridge</t>
  </si>
  <si>
    <t>Upgrading of Kgobagodimo access road</t>
  </si>
  <si>
    <t>Upgrading of Phahladira access road</t>
  </si>
  <si>
    <t>Resealing of roads in Town, Onverwacht and Marapong</t>
  </si>
  <si>
    <t xml:space="preserve">Public works </t>
  </si>
  <si>
    <t>Maintenace of of Coucil chamber R350K</t>
  </si>
  <si>
    <t xml:space="preserve">Maintenance of Toilets </t>
  </si>
  <si>
    <t>Construction of storm water channel from Onverwacht to Town</t>
  </si>
  <si>
    <t xml:space="preserve">Water </t>
  </si>
  <si>
    <t>FUNDER</t>
  </si>
  <si>
    <t xml:space="preserve">DRAFT CAPEX PROJECTS </t>
  </si>
  <si>
    <t>Refurbishment of Zongesien Oxidation Ponds.</t>
  </si>
  <si>
    <t>Refurbishment and upgrading of Sewer Pumpstations, Wastewater Treatment Works, Network Pipes and Replacement of AC Pipes</t>
  </si>
  <si>
    <t xml:space="preserve">Sanitation </t>
  </si>
  <si>
    <t xml:space="preserve">Operational team- sanitation </t>
  </si>
  <si>
    <t>Acquire of 2 x Sedan vehicles for use by 08 traffic officers</t>
  </si>
  <si>
    <t xml:space="preserve">Traffic </t>
  </si>
  <si>
    <t>Parks</t>
  </si>
  <si>
    <t xml:space="preserve">Parks </t>
  </si>
  <si>
    <t>Refurbish Captain Thulare Stadium (Repair of existing irrigation system, introduce athletic tracks, leveling and reinstatement of turf,  instation of grand stands)</t>
  </si>
  <si>
    <t xml:space="preserve">Invesive trees </t>
  </si>
  <si>
    <t xml:space="preserve">Construction of Ventilated Improved Pit Latrine(VIP) in the rural node.+ Leseding cemetry </t>
  </si>
  <si>
    <t xml:space="preserve">Electrication of Landfil site </t>
  </si>
  <si>
    <t>Waste</t>
  </si>
  <si>
    <t xml:space="preserve">SKIP Bins </t>
  </si>
  <si>
    <t xml:space="preserve">Acquire of 2 x  LDV vehicles  for Disaster </t>
  </si>
  <si>
    <t xml:space="preserve">Formalisation of Infomal settlement - Steve biko &amp; GA- Phahladira </t>
  </si>
  <si>
    <t>Parks equiptment list 2025/2026</t>
  </si>
  <si>
    <t xml:space="preserve">Item </t>
  </si>
  <si>
    <t xml:space="preserve">Description </t>
  </si>
  <si>
    <t>Quantity</t>
  </si>
  <si>
    <t>Rate</t>
  </si>
  <si>
    <t>mark-up</t>
  </si>
  <si>
    <t>Grand total</t>
  </si>
  <si>
    <t xml:space="preserve">Brushcutters </t>
  </si>
  <si>
    <t xml:space="preserve">tractor </t>
  </si>
  <si>
    <t xml:space="preserve">Slasher </t>
  </si>
  <si>
    <t xml:space="preserve">ride-on </t>
  </si>
  <si>
    <t>total</t>
  </si>
  <si>
    <t xml:space="preserve">4x Guard House </t>
  </si>
  <si>
    <t xml:space="preserve">MM Office - Security </t>
  </si>
  <si>
    <t>Techical report for  construction of King Bird line  and substaion  4</t>
  </si>
  <si>
    <t>Mokuruanyane and Shongoane RWS PHASE 5 (stalled)</t>
  </si>
  <si>
    <t>Witpoort and Gaseleka RWS Phase 5(stalled)</t>
  </si>
  <si>
    <t>Establishment of 2 Transfer stations (stalled)</t>
  </si>
  <si>
    <t>Gains</t>
  </si>
  <si>
    <t>GRANTS</t>
  </si>
  <si>
    <t>Budget 2024/2025</t>
  </si>
  <si>
    <t>Budget 2025/2026</t>
  </si>
  <si>
    <t>Budget 2026/2027</t>
  </si>
  <si>
    <t>EQUITABLE SHARES</t>
  </si>
  <si>
    <t>MIG - PMU</t>
  </si>
  <si>
    <t>FMG</t>
  </si>
  <si>
    <t>EPWP</t>
  </si>
  <si>
    <t>Sub total</t>
  </si>
  <si>
    <t>ENERGY EFFICIENCY AND DEMAND SIDE MANAGEMNT GRANTS</t>
  </si>
  <si>
    <t>WSIG 6B</t>
  </si>
  <si>
    <t>TOTAL CAPITAL GRANTS</t>
  </si>
  <si>
    <t>TOTAL GRANTS</t>
  </si>
  <si>
    <t>Purchase and installtion of telematrics system</t>
  </si>
  <si>
    <t>Appointment  of Consultant for  technical  report Refurbishment of Zongesien Oxidation Ponds.</t>
  </si>
  <si>
    <t xml:space="preserve">OWN FUNDING </t>
  </si>
  <si>
    <t xml:space="preserve">ENERGY EFFICIENCY </t>
  </si>
  <si>
    <t>TOTAL  CAPEX</t>
  </si>
  <si>
    <t xml:space="preserve">TOTAL CAPITAL GRANTS </t>
  </si>
  <si>
    <t>Budget 2027/2028</t>
  </si>
  <si>
    <t>INEP (Schedule 6,Part B) (ESKOM)</t>
  </si>
  <si>
    <t>WSIG (Schedule 6, Part B)</t>
  </si>
  <si>
    <t xml:space="preserve">TOTAL GRANT </t>
  </si>
  <si>
    <t xml:space="preserve">TOTAL GRANTS EXC ESKOM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</si>
</sst>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 * #,##0_ ;_ * \-#,##0_ ;_ * &quot;-&quot;??_ ;_ @_ "/>
    <numFmt numFmtId="166" formatCode="_(* #,##0_);_(* \(#,##0\);_(* &quot;-&quot;??_);_(@_)"/>
    <numFmt numFmtId="167" formatCode="_(* #,##0.000_);_(* \(#,##0.000\);_(* &quot;-&quot;??_);_(@_)"/>
    <numFmt numFmtId="168" formatCode="_-* #,##0_-;\-* #,##0_-;_-* &quot;-&quot;??_-;_-@_-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b/>
      <sz val="16"/>
      <name val="Arial"/>
      <family val="2"/>
    </font>
    <font>
      <b/>
      <sz val="16"/>
      <name val="Aptos Narrow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6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60">
    <xf numFmtId="0" fontId="0" fillId="0" borderId="0" xfId="0"/>
    <xf numFmtId="0" fontId="4" fillId="0" borderId="0" xfId="0" applyFont="1"/>
    <xf numFmtId="164" fontId="5" fillId="0" borderId="0" xfId="1" applyFont="1"/>
    <xf numFmtId="9" fontId="5" fillId="0" borderId="0" xfId="2" applyFont="1"/>
    <xf numFmtId="9" fontId="5" fillId="2" borderId="0" xfId="2" applyFont="1" applyFill="1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left" vertical="top"/>
    </xf>
    <xf numFmtId="9" fontId="6" fillId="4" borderId="1" xfId="2" applyFont="1" applyFill="1" applyBorder="1" applyAlignment="1">
      <alignment horizontal="left" vertical="top" wrapText="1"/>
    </xf>
    <xf numFmtId="164" fontId="6" fillId="3" borderId="1" xfId="1" applyFont="1" applyFill="1" applyBorder="1" applyAlignment="1">
      <alignment horizontal="left" vertical="top" wrapText="1"/>
    </xf>
    <xf numFmtId="9" fontId="6" fillId="3" borderId="1" xfId="2" applyFont="1" applyFill="1" applyBorder="1" applyAlignment="1">
      <alignment horizontal="left" vertical="top" wrapText="1"/>
    </xf>
    <xf numFmtId="165" fontId="3" fillId="2" borderId="0" xfId="1" applyNumberFormat="1" applyFont="1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164" fontId="5" fillId="2" borderId="2" xfId="1" applyFont="1" applyFill="1" applyBorder="1"/>
    <xf numFmtId="0" fontId="5" fillId="3" borderId="3" xfId="0" applyFont="1" applyFill="1" applyBorder="1"/>
    <xf numFmtId="166" fontId="5" fillId="3" borderId="2" xfId="1" applyNumberFormat="1" applyFont="1" applyFill="1" applyBorder="1"/>
    <xf numFmtId="166" fontId="2" fillId="3" borderId="2" xfId="1" applyNumberFormat="1" applyFont="1" applyFill="1" applyBorder="1"/>
    <xf numFmtId="9" fontId="2" fillId="3" borderId="2" xfId="2" applyFont="1" applyFill="1" applyBorder="1"/>
    <xf numFmtId="166" fontId="5" fillId="2" borderId="2" xfId="2" applyNumberFormat="1" applyFont="1" applyFill="1" applyBorder="1"/>
    <xf numFmtId="164" fontId="0" fillId="2" borderId="0" xfId="1" applyFont="1" applyFill="1" applyBorder="1"/>
    <xf numFmtId="166" fontId="2" fillId="2" borderId="0" xfId="0" applyNumberFormat="1" applyFont="1" applyFill="1"/>
    <xf numFmtId="0" fontId="0" fillId="3" borderId="0" xfId="0" applyFill="1"/>
    <xf numFmtId="0" fontId="5" fillId="0" borderId="3" xfId="0" applyFont="1" applyBorder="1"/>
    <xf numFmtId="164" fontId="5" fillId="0" borderId="5" xfId="1" applyFont="1" applyFill="1" applyBorder="1"/>
    <xf numFmtId="166" fontId="5" fillId="0" borderId="5" xfId="1" applyNumberFormat="1" applyFont="1" applyBorder="1"/>
    <xf numFmtId="9" fontId="5" fillId="0" borderId="5" xfId="2" applyFont="1" applyBorder="1"/>
    <xf numFmtId="166" fontId="5" fillId="2" borderId="5" xfId="2" applyNumberFormat="1" applyFont="1" applyFill="1" applyBorder="1"/>
    <xf numFmtId="0" fontId="5" fillId="0" borderId="5" xfId="0" applyFont="1" applyBorder="1" applyAlignment="1">
      <alignment wrapText="1"/>
    </xf>
    <xf numFmtId="166" fontId="5" fillId="0" borderId="5" xfId="1" applyNumberFormat="1" applyFont="1" applyFill="1" applyBorder="1"/>
    <xf numFmtId="0" fontId="0" fillId="0" borderId="6" xfId="0" applyBorder="1" applyAlignment="1">
      <alignment wrapText="1"/>
    </xf>
    <xf numFmtId="164" fontId="0" fillId="0" borderId="6" xfId="1" applyFont="1" applyFill="1" applyBorder="1"/>
    <xf numFmtId="166" fontId="0" fillId="0" borderId="6" xfId="1" applyNumberFormat="1" applyFont="1" applyFill="1" applyBorder="1"/>
    <xf numFmtId="166" fontId="0" fillId="0" borderId="5" xfId="1" applyNumberFormat="1" applyFont="1" applyFill="1" applyBorder="1"/>
    <xf numFmtId="9" fontId="0" fillId="0" borderId="6" xfId="2" applyFont="1" applyBorder="1"/>
    <xf numFmtId="166" fontId="0" fillId="2" borderId="5" xfId="2" applyNumberFormat="1" applyFont="1" applyFill="1" applyBorder="1"/>
    <xf numFmtId="166" fontId="0" fillId="2" borderId="0" xfId="0" applyNumberFormat="1" applyFill="1"/>
    <xf numFmtId="0" fontId="0" fillId="2" borderId="6" xfId="0" applyFill="1" applyBorder="1" applyAlignment="1">
      <alignment wrapText="1"/>
    </xf>
    <xf numFmtId="164" fontId="0" fillId="2" borderId="6" xfId="1" applyFont="1" applyFill="1" applyBorder="1"/>
    <xf numFmtId="164" fontId="0" fillId="3" borderId="6" xfId="1" applyFont="1" applyFill="1" applyBorder="1"/>
    <xf numFmtId="9" fontId="0" fillId="3" borderId="6" xfId="2" applyFont="1" applyFill="1" applyBorder="1"/>
    <xf numFmtId="166" fontId="0" fillId="2" borderId="5" xfId="1" applyNumberFormat="1" applyFont="1" applyFill="1" applyBorder="1"/>
    <xf numFmtId="166" fontId="0" fillId="2" borderId="6" xfId="1" applyNumberFormat="1" applyFont="1" applyFill="1" applyBorder="1"/>
    <xf numFmtId="166" fontId="0" fillId="3" borderId="6" xfId="1" applyNumberFormat="1" applyFont="1" applyFill="1" applyBorder="1"/>
    <xf numFmtId="0" fontId="6" fillId="5" borderId="7" xfId="0" applyFont="1" applyFill="1" applyBorder="1"/>
    <xf numFmtId="164" fontId="6" fillId="5" borderId="7" xfId="1" applyFont="1" applyFill="1" applyBorder="1"/>
    <xf numFmtId="164" fontId="6" fillId="2" borderId="7" xfId="1" applyFont="1" applyFill="1" applyBorder="1"/>
    <xf numFmtId="43" fontId="0" fillId="2" borderId="0" xfId="0" applyNumberFormat="1" applyFill="1"/>
    <xf numFmtId="0" fontId="6" fillId="0" borderId="0" xfId="0" applyFont="1"/>
    <xf numFmtId="164" fontId="5" fillId="0" borderId="8" xfId="1" applyFont="1" applyFill="1" applyBorder="1"/>
    <xf numFmtId="165" fontId="6" fillId="3" borderId="4" xfId="1" applyNumberFormat="1" applyFont="1" applyFill="1" applyBorder="1" applyAlignment="1">
      <alignment horizontal="left" wrapText="1"/>
    </xf>
    <xf numFmtId="0" fontId="5" fillId="0" borderId="9" xfId="0" applyFont="1" applyBorder="1" applyAlignment="1">
      <alignment wrapText="1"/>
    </xf>
    <xf numFmtId="0" fontId="5" fillId="0" borderId="9" xfId="0" applyFont="1" applyBorder="1"/>
    <xf numFmtId="164" fontId="5" fillId="0" borderId="9" xfId="1" applyFont="1" applyFill="1" applyBorder="1"/>
    <xf numFmtId="164" fontId="5" fillId="0" borderId="9" xfId="1" applyFont="1" applyBorder="1"/>
    <xf numFmtId="9" fontId="5" fillId="0" borderId="9" xfId="2" applyFont="1" applyBorder="1"/>
    <xf numFmtId="164" fontId="5" fillId="2" borderId="9" xfId="2" applyNumberFormat="1" applyFont="1" applyFill="1" applyBorder="1"/>
    <xf numFmtId="0" fontId="2" fillId="0" borderId="0" xfId="0" applyFont="1"/>
    <xf numFmtId="166" fontId="5" fillId="2" borderId="9" xfId="2" applyNumberFormat="1" applyFont="1" applyFill="1" applyBorder="1"/>
    <xf numFmtId="0" fontId="6" fillId="0" borderId="12" xfId="0" applyFont="1" applyBorder="1"/>
    <xf numFmtId="164" fontId="6" fillId="0" borderId="12" xfId="1" applyFont="1" applyBorder="1"/>
    <xf numFmtId="9" fontId="5" fillId="0" borderId="12" xfId="2" applyFont="1" applyBorder="1"/>
    <xf numFmtId="166" fontId="5" fillId="2" borderId="12" xfId="2" applyNumberFormat="1" applyFont="1" applyFill="1" applyBorder="1"/>
    <xf numFmtId="164" fontId="6" fillId="0" borderId="0" xfId="1" applyFont="1"/>
    <xf numFmtId="9" fontId="6" fillId="0" borderId="0" xfId="2" applyFont="1" applyBorder="1"/>
    <xf numFmtId="9" fontId="6" fillId="2" borderId="0" xfId="2" applyFont="1" applyFill="1" applyBorder="1"/>
    <xf numFmtId="9" fontId="6" fillId="4" borderId="1" xfId="2" applyFont="1" applyFill="1" applyBorder="1" applyAlignment="1">
      <alignment horizontal="left" wrapText="1"/>
    </xf>
    <xf numFmtId="0" fontId="4" fillId="3" borderId="9" xfId="0" applyFont="1" applyFill="1" applyBorder="1"/>
    <xf numFmtId="164" fontId="6" fillId="3" borderId="1" xfId="1" applyFont="1" applyFill="1" applyBorder="1" applyAlignment="1">
      <alignment horizontal="left" wrapText="1"/>
    </xf>
    <xf numFmtId="9" fontId="6" fillId="3" borderId="1" xfId="2" applyFont="1" applyFill="1" applyBorder="1" applyAlignment="1">
      <alignment horizontal="left" wrapText="1"/>
    </xf>
    <xf numFmtId="0" fontId="7" fillId="2" borderId="0" xfId="0" applyFont="1" applyFill="1"/>
    <xf numFmtId="0" fontId="8" fillId="2" borderId="0" xfId="0" applyFont="1" applyFill="1"/>
    <xf numFmtId="0" fontId="7" fillId="0" borderId="0" xfId="0" applyFont="1"/>
    <xf numFmtId="0" fontId="0" fillId="0" borderId="9" xfId="0" applyBorder="1" applyAlignment="1">
      <alignment wrapText="1"/>
    </xf>
    <xf numFmtId="164" fontId="0" fillId="0" borderId="9" xfId="1" applyFont="1" applyFill="1" applyBorder="1" applyAlignment="1"/>
    <xf numFmtId="9" fontId="0" fillId="0" borderId="9" xfId="2" applyFont="1" applyBorder="1" applyAlignment="1"/>
    <xf numFmtId="166" fontId="0" fillId="2" borderId="13" xfId="0" applyNumberFormat="1" applyFill="1" applyBorder="1"/>
    <xf numFmtId="166" fontId="5" fillId="2" borderId="2" xfId="2" applyNumberFormat="1" applyFont="1" applyFill="1" applyBorder="1" applyAlignment="1">
      <alignment wrapText="1"/>
    </xf>
    <xf numFmtId="16" fontId="0" fillId="2" borderId="0" xfId="0" applyNumberFormat="1" applyFill="1"/>
    <xf numFmtId="0" fontId="0" fillId="0" borderId="9" xfId="0" applyBorder="1" applyAlignment="1">
      <alignment horizontal="left" wrapText="1"/>
    </xf>
    <xf numFmtId="166" fontId="0" fillId="2" borderId="13" xfId="1" applyNumberFormat="1" applyFont="1" applyFill="1" applyBorder="1" applyAlignment="1"/>
    <xf numFmtId="0" fontId="0" fillId="2" borderId="9" xfId="0" applyFill="1" applyBorder="1" applyAlignment="1">
      <alignment horizontal="left" wrapText="1"/>
    </xf>
    <xf numFmtId="164" fontId="0" fillId="2" borderId="9" xfId="1" applyFont="1" applyFill="1" applyBorder="1" applyAlignment="1"/>
    <xf numFmtId="9" fontId="0" fillId="2" borderId="9" xfId="2" applyFont="1" applyFill="1" applyBorder="1" applyAlignment="1"/>
    <xf numFmtId="164" fontId="0" fillId="2" borderId="9" xfId="2" applyNumberFormat="1" applyFont="1" applyFill="1" applyBorder="1" applyAlignment="1"/>
    <xf numFmtId="164" fontId="0" fillId="2" borderId="0" xfId="1" applyFont="1" applyFill="1"/>
    <xf numFmtId="164" fontId="0" fillId="2" borderId="0" xfId="0" applyNumberFormat="1" applyFill="1"/>
    <xf numFmtId="0" fontId="0" fillId="2" borderId="9" xfId="0" applyFill="1" applyBorder="1" applyAlignment="1">
      <alignment horizontal="left" vertical="top" wrapText="1"/>
    </xf>
    <xf numFmtId="164" fontId="0" fillId="2" borderId="9" xfId="1" applyFont="1" applyFill="1" applyBorder="1" applyAlignment="1">
      <alignment vertical="top"/>
    </xf>
    <xf numFmtId="9" fontId="0" fillId="2" borderId="9" xfId="2" applyFont="1" applyFill="1" applyBorder="1" applyAlignment="1">
      <alignment vertical="top"/>
    </xf>
    <xf numFmtId="164" fontId="0" fillId="2" borderId="9" xfId="2" applyNumberFormat="1" applyFont="1" applyFill="1" applyBorder="1" applyAlignment="1">
      <alignment vertical="top"/>
    </xf>
    <xf numFmtId="164" fontId="5" fillId="2" borderId="9" xfId="2" applyNumberFormat="1" applyFont="1" applyFill="1" applyBorder="1" applyAlignment="1">
      <alignment vertical="top"/>
    </xf>
    <xf numFmtId="16" fontId="0" fillId="2" borderId="0" xfId="0" applyNumberFormat="1" applyFill="1" applyAlignment="1">
      <alignment vertical="top"/>
    </xf>
    <xf numFmtId="0" fontId="0" fillId="2" borderId="0" xfId="0" applyFill="1" applyAlignment="1">
      <alignment vertical="top"/>
    </xf>
    <xf numFmtId="164" fontId="0" fillId="2" borderId="0" xfId="0" applyNumberFormat="1" applyFill="1" applyAlignment="1">
      <alignment vertical="top"/>
    </xf>
    <xf numFmtId="164" fontId="5" fillId="0" borderId="9" xfId="1" applyFont="1" applyBorder="1" applyAlignment="1"/>
    <xf numFmtId="164" fontId="5" fillId="2" borderId="9" xfId="1" applyFont="1" applyFill="1" applyBorder="1" applyAlignment="1"/>
    <xf numFmtId="0" fontId="6" fillId="5" borderId="12" xfId="0" applyFont="1" applyFill="1" applyBorder="1"/>
    <xf numFmtId="164" fontId="6" fillId="5" borderId="12" xfId="1" applyFont="1" applyFill="1" applyBorder="1" applyAlignment="1"/>
    <xf numFmtId="164" fontId="6" fillId="2" borderId="12" xfId="1" applyFont="1" applyFill="1" applyBorder="1"/>
    <xf numFmtId="164" fontId="6" fillId="0" borderId="0" xfId="1" applyFont="1" applyBorder="1"/>
    <xf numFmtId="164" fontId="6" fillId="0" borderId="0" xfId="0" applyNumberFormat="1" applyFont="1"/>
    <xf numFmtId="9" fontId="5" fillId="0" borderId="0" xfId="2" applyFont="1" applyBorder="1"/>
    <xf numFmtId="164" fontId="5" fillId="2" borderId="0" xfId="2" applyNumberFormat="1" applyFont="1" applyFill="1" applyBorder="1"/>
    <xf numFmtId="0" fontId="6" fillId="4" borderId="9" xfId="0" applyFont="1" applyFill="1" applyBorder="1"/>
    <xf numFmtId="0" fontId="6" fillId="4" borderId="14" xfId="0" applyFont="1" applyFill="1" applyBorder="1"/>
    <xf numFmtId="164" fontId="6" fillId="4" borderId="12" xfId="1" applyFont="1" applyFill="1" applyBorder="1"/>
    <xf numFmtId="9" fontId="5" fillId="4" borderId="12" xfId="2" applyFont="1" applyFill="1" applyBorder="1"/>
    <xf numFmtId="9" fontId="5" fillId="2" borderId="12" xfId="2" applyFont="1" applyFill="1" applyBorder="1"/>
    <xf numFmtId="165" fontId="6" fillId="3" borderId="1" xfId="1" applyNumberFormat="1" applyFont="1" applyFill="1" applyBorder="1" applyAlignment="1">
      <alignment horizontal="left" vertical="top" wrapText="1"/>
    </xf>
    <xf numFmtId="165" fontId="6" fillId="3" borderId="4" xfId="1" applyNumberFormat="1" applyFont="1" applyFill="1" applyBorder="1" applyAlignment="1">
      <alignment horizontal="left" vertical="top" wrapText="1"/>
    </xf>
    <xf numFmtId="9" fontId="6" fillId="4" borderId="15" xfId="2" applyFont="1" applyFill="1" applyBorder="1" applyAlignment="1">
      <alignment horizontal="left" vertical="top" wrapText="1"/>
    </xf>
    <xf numFmtId="0" fontId="5" fillId="0" borderId="2" xfId="0" applyFont="1" applyBorder="1"/>
    <xf numFmtId="0" fontId="5" fillId="0" borderId="5" xfId="0" applyFont="1" applyBorder="1"/>
    <xf numFmtId="164" fontId="5" fillId="0" borderId="5" xfId="1" applyFont="1" applyFill="1" applyBorder="1" applyAlignment="1"/>
    <xf numFmtId="9" fontId="5" fillId="0" borderId="5" xfId="2" applyFont="1" applyBorder="1" applyAlignment="1"/>
    <xf numFmtId="164" fontId="5" fillId="2" borderId="5" xfId="2" applyNumberFormat="1" applyFont="1" applyFill="1" applyBorder="1" applyAlignment="1"/>
    <xf numFmtId="164" fontId="5" fillId="2" borderId="13" xfId="2" applyNumberFormat="1" applyFont="1" applyFill="1" applyBorder="1"/>
    <xf numFmtId="0" fontId="5" fillId="2" borderId="5" xfId="0" applyFont="1" applyFill="1" applyBorder="1"/>
    <xf numFmtId="164" fontId="5" fillId="2" borderId="5" xfId="1" applyFont="1" applyFill="1" applyBorder="1" applyAlignment="1"/>
    <xf numFmtId="9" fontId="5" fillId="2" borderId="5" xfId="2" applyFont="1" applyFill="1" applyBorder="1" applyAlignment="1"/>
    <xf numFmtId="0" fontId="2" fillId="5" borderId="0" xfId="0" applyFont="1" applyFill="1"/>
    <xf numFmtId="164" fontId="5" fillId="0" borderId="5" xfId="0" applyNumberFormat="1" applyFont="1" applyBorder="1" applyAlignment="1">
      <alignment wrapText="1"/>
    </xf>
    <xf numFmtId="164" fontId="5" fillId="2" borderId="13" xfId="1" applyFont="1" applyFill="1" applyBorder="1"/>
    <xf numFmtId="0" fontId="9" fillId="2" borderId="5" xfId="0" applyFont="1" applyFill="1" applyBorder="1" applyAlignment="1">
      <alignment wrapText="1"/>
    </xf>
    <xf numFmtId="0" fontId="6" fillId="3" borderId="7" xfId="0" applyFont="1" applyFill="1" applyBorder="1"/>
    <xf numFmtId="164" fontId="6" fillId="3" borderId="7" xfId="1" applyFont="1" applyFill="1" applyBorder="1" applyAlignment="1"/>
    <xf numFmtId="9" fontId="5" fillId="3" borderId="7" xfId="2" applyFont="1" applyFill="1" applyBorder="1" applyAlignment="1"/>
    <xf numFmtId="166" fontId="6" fillId="3" borderId="7" xfId="1" applyNumberFormat="1" applyFont="1" applyFill="1" applyBorder="1" applyAlignment="1">
      <alignment horizontal="left"/>
    </xf>
    <xf numFmtId="164" fontId="6" fillId="2" borderId="13" xfId="1" applyFont="1" applyFill="1" applyBorder="1"/>
    <xf numFmtId="165" fontId="6" fillId="3" borderId="1" xfId="1" applyNumberFormat="1" applyFont="1" applyFill="1" applyBorder="1" applyAlignment="1">
      <alignment horizontal="left" wrapText="1"/>
    </xf>
    <xf numFmtId="0" fontId="6" fillId="0" borderId="4" xfId="0" applyFont="1" applyBorder="1"/>
    <xf numFmtId="166" fontId="6" fillId="0" borderId="4" xfId="1" applyNumberFormat="1" applyFont="1" applyBorder="1" applyAlignment="1">
      <alignment horizontal="left" indent="1"/>
    </xf>
    <xf numFmtId="164" fontId="6" fillId="0" borderId="4" xfId="1" applyFont="1" applyBorder="1" applyAlignment="1">
      <alignment horizontal="left" indent="1"/>
    </xf>
    <xf numFmtId="9" fontId="6" fillId="2" borderId="4" xfId="2" applyFont="1" applyFill="1" applyBorder="1"/>
    <xf numFmtId="0" fontId="6" fillId="0" borderId="3" xfId="0" applyFont="1" applyBorder="1"/>
    <xf numFmtId="166" fontId="6" fillId="0" borderId="3" xfId="1" applyNumberFormat="1" applyFont="1" applyBorder="1" applyAlignment="1">
      <alignment horizontal="left" indent="1"/>
    </xf>
    <xf numFmtId="164" fontId="6" fillId="0" borderId="3" xfId="1" applyFont="1" applyBorder="1" applyAlignment="1">
      <alignment horizontal="left" indent="1"/>
    </xf>
    <xf numFmtId="9" fontId="6" fillId="2" borderId="3" xfId="2" applyFont="1" applyFill="1" applyBorder="1" applyAlignment="1">
      <alignment wrapText="1"/>
    </xf>
    <xf numFmtId="9" fontId="6" fillId="0" borderId="3" xfId="2" applyFont="1" applyBorder="1" applyAlignment="1">
      <alignment horizontal="left" indent="1"/>
    </xf>
    <xf numFmtId="166" fontId="6" fillId="2" borderId="3" xfId="2" applyNumberFormat="1" applyFont="1" applyFill="1" applyBorder="1" applyAlignment="1">
      <alignment horizontal="left" indent="1"/>
    </xf>
    <xf numFmtId="9" fontId="6" fillId="2" borderId="3" xfId="2" applyFont="1" applyFill="1" applyBorder="1"/>
    <xf numFmtId="0" fontId="6" fillId="0" borderId="16" xfId="0" applyFont="1" applyBorder="1"/>
    <xf numFmtId="166" fontId="6" fillId="0" borderId="16" xfId="1" applyNumberFormat="1" applyFont="1" applyBorder="1" applyAlignment="1">
      <alignment horizontal="left" indent="1"/>
    </xf>
    <xf numFmtId="164" fontId="6" fillId="0" borderId="16" xfId="1" applyFont="1" applyBorder="1" applyAlignment="1">
      <alignment horizontal="left" indent="1"/>
    </xf>
    <xf numFmtId="9" fontId="6" fillId="2" borderId="16" xfId="2" applyFont="1" applyFill="1" applyBorder="1" applyAlignment="1">
      <alignment wrapText="1"/>
    </xf>
    <xf numFmtId="0" fontId="6" fillId="0" borderId="1" xfId="0" applyFont="1" applyBorder="1"/>
    <xf numFmtId="166" fontId="6" fillId="0" borderId="1" xfId="1" applyNumberFormat="1" applyFont="1" applyBorder="1" applyAlignment="1">
      <alignment horizontal="left" indent="1"/>
    </xf>
    <xf numFmtId="164" fontId="6" fillId="0" borderId="1" xfId="1" applyFont="1" applyBorder="1" applyAlignment="1">
      <alignment horizontal="left" indent="1"/>
    </xf>
    <xf numFmtId="9" fontId="6" fillId="2" borderId="1" xfId="2" applyFont="1" applyFill="1" applyBorder="1"/>
    <xf numFmtId="164" fontId="6" fillId="0" borderId="0" xfId="1" applyFont="1" applyAlignment="1">
      <alignment horizontal="left" indent="1"/>
    </xf>
    <xf numFmtId="9" fontId="6" fillId="0" borderId="0" xfId="2" applyFont="1" applyBorder="1" applyAlignment="1">
      <alignment horizontal="left" indent="1"/>
    </xf>
    <xf numFmtId="9" fontId="6" fillId="2" borderId="0" xfId="2" applyFont="1" applyFill="1" applyBorder="1" applyAlignment="1">
      <alignment horizontal="left" indent="1"/>
    </xf>
    <xf numFmtId="9" fontId="6" fillId="0" borderId="0" xfId="2" applyFont="1" applyAlignment="1">
      <alignment horizontal="left" indent="1"/>
    </xf>
    <xf numFmtId="9" fontId="6" fillId="2" borderId="0" xfId="2" applyFont="1" applyFill="1" applyAlignment="1">
      <alignment horizontal="left" indent="1"/>
    </xf>
    <xf numFmtId="9" fontId="6" fillId="2" borderId="0" xfId="2" applyFont="1" applyFill="1"/>
    <xf numFmtId="165" fontId="10" fillId="3" borderId="1" xfId="1" applyNumberFormat="1" applyFont="1" applyFill="1" applyBorder="1" applyAlignment="1">
      <alignment horizontal="left" vertical="top" wrapText="1"/>
    </xf>
    <xf numFmtId="165" fontId="10" fillId="3" borderId="4" xfId="1" applyNumberFormat="1" applyFont="1" applyFill="1" applyBorder="1" applyAlignment="1">
      <alignment horizontal="left" wrapText="1"/>
    </xf>
    <xf numFmtId="9" fontId="10" fillId="4" borderId="1" xfId="2" applyFont="1" applyFill="1" applyBorder="1" applyAlignment="1">
      <alignment horizontal="left" vertical="top" wrapText="1" indent="1"/>
    </xf>
    <xf numFmtId="164" fontId="10" fillId="3" borderId="1" xfId="1" applyFont="1" applyFill="1" applyBorder="1" applyAlignment="1">
      <alignment horizontal="left" vertical="top" wrapText="1" indent="1"/>
    </xf>
    <xf numFmtId="9" fontId="10" fillId="3" borderId="1" xfId="2" applyFont="1" applyFill="1" applyBorder="1" applyAlignment="1">
      <alignment horizontal="left" vertical="top" wrapText="1" indent="1"/>
    </xf>
    <xf numFmtId="0" fontId="6" fillId="0" borderId="6" xfId="0" applyFont="1" applyBorder="1"/>
    <xf numFmtId="164" fontId="6" fillId="0" borderId="6" xfId="1" applyFont="1" applyBorder="1" applyAlignment="1">
      <alignment horizontal="left" indent="1"/>
    </xf>
    <xf numFmtId="9" fontId="6" fillId="0" borderId="6" xfId="2" applyFont="1" applyBorder="1" applyAlignment="1">
      <alignment horizontal="left" indent="1"/>
    </xf>
    <xf numFmtId="9" fontId="6" fillId="2" borderId="6" xfId="2" applyFont="1" applyFill="1" applyBorder="1" applyAlignment="1">
      <alignment horizontal="left" indent="1"/>
    </xf>
    <xf numFmtId="9" fontId="6" fillId="2" borderId="17" xfId="2" applyFont="1" applyFill="1" applyBorder="1"/>
    <xf numFmtId="0" fontId="11" fillId="0" borderId="5" xfId="0" applyFont="1" applyBorder="1"/>
    <xf numFmtId="166" fontId="11" fillId="0" borderId="5" xfId="1" applyNumberFormat="1" applyFont="1" applyBorder="1" applyAlignment="1">
      <alignment horizontal="left" vertical="top" indent="1"/>
    </xf>
    <xf numFmtId="164" fontId="11" fillId="0" borderId="5" xfId="1" applyFont="1" applyBorder="1" applyAlignment="1">
      <alignment horizontal="left" indent="1"/>
    </xf>
    <xf numFmtId="9" fontId="11" fillId="0" borderId="5" xfId="2" applyFont="1" applyBorder="1" applyAlignment="1">
      <alignment horizontal="left" indent="1"/>
    </xf>
    <xf numFmtId="164" fontId="11" fillId="2" borderId="5" xfId="2" applyNumberFormat="1" applyFont="1" applyFill="1" applyBorder="1" applyAlignment="1">
      <alignment horizontal="left" indent="1"/>
    </xf>
    <xf numFmtId="9" fontId="6" fillId="2" borderId="5" xfId="2" applyFont="1" applyFill="1" applyBorder="1"/>
    <xf numFmtId="0" fontId="11" fillId="0" borderId="3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166" fontId="11" fillId="0" borderId="16" xfId="1" applyNumberFormat="1" applyFont="1" applyBorder="1" applyAlignment="1">
      <alignment horizontal="left" vertical="top" indent="1"/>
    </xf>
    <xf numFmtId="164" fontId="11" fillId="0" borderId="16" xfId="0" applyNumberFormat="1" applyFont="1" applyBorder="1" applyAlignment="1">
      <alignment horizontal="left" vertical="top" indent="1"/>
    </xf>
    <xf numFmtId="164" fontId="11" fillId="0" borderId="3" xfId="0" applyNumberFormat="1" applyFont="1" applyBorder="1" applyAlignment="1">
      <alignment horizontal="left" vertical="top" indent="1"/>
    </xf>
    <xf numFmtId="9" fontId="11" fillId="0" borderId="2" xfId="2" applyFont="1" applyBorder="1" applyAlignment="1">
      <alignment horizontal="left" vertical="top" indent="1"/>
    </xf>
    <xf numFmtId="9" fontId="6" fillId="2" borderId="18" xfId="2" applyFont="1" applyFill="1" applyBorder="1" applyAlignment="1">
      <alignment vertical="top" wrapText="1"/>
    </xf>
    <xf numFmtId="0" fontId="11" fillId="4" borderId="1" xfId="0" applyFont="1" applyFill="1" applyBorder="1"/>
    <xf numFmtId="0" fontId="11" fillId="4" borderId="7" xfId="0" applyFont="1" applyFill="1" applyBorder="1"/>
    <xf numFmtId="166" fontId="11" fillId="4" borderId="7" xfId="1" applyNumberFormat="1" applyFont="1" applyFill="1" applyBorder="1" applyAlignment="1">
      <alignment horizontal="left" vertical="top" indent="1"/>
    </xf>
    <xf numFmtId="164" fontId="11" fillId="4" borderId="1" xfId="0" applyNumberFormat="1" applyFont="1" applyFill="1" applyBorder="1" applyAlignment="1">
      <alignment horizontal="left" indent="1"/>
    </xf>
    <xf numFmtId="9" fontId="6" fillId="4" borderId="1" xfId="2" applyFont="1" applyFill="1" applyBorder="1" applyAlignment="1">
      <alignment horizontal="right"/>
    </xf>
    <xf numFmtId="0" fontId="11" fillId="4" borderId="1" xfId="0" applyFont="1" applyFill="1" applyBorder="1" applyAlignment="1">
      <alignment wrapText="1"/>
    </xf>
    <xf numFmtId="0" fontId="12" fillId="2" borderId="19" xfId="0" applyFont="1" applyFill="1" applyBorder="1"/>
    <xf numFmtId="9" fontId="6" fillId="0" borderId="0" xfId="2" applyFont="1"/>
    <xf numFmtId="165" fontId="11" fillId="3" borderId="1" xfId="1" applyNumberFormat="1" applyFont="1" applyFill="1" applyBorder="1" applyAlignment="1">
      <alignment horizontal="left" vertical="top" wrapText="1"/>
    </xf>
    <xf numFmtId="9" fontId="11" fillId="4" borderId="1" xfId="2" applyFont="1" applyFill="1" applyBorder="1" applyAlignment="1">
      <alignment horizontal="left" vertical="top" wrapText="1"/>
    </xf>
    <xf numFmtId="164" fontId="11" fillId="3" borderId="1" xfId="1" applyFont="1" applyFill="1" applyBorder="1" applyAlignment="1">
      <alignment horizontal="left" vertical="top" wrapText="1"/>
    </xf>
    <xf numFmtId="9" fontId="11" fillId="3" borderId="1" xfId="2" applyFont="1" applyFill="1" applyBorder="1" applyAlignment="1">
      <alignment horizontal="left" vertical="top" wrapText="1"/>
    </xf>
    <xf numFmtId="0" fontId="2" fillId="2" borderId="0" xfId="0" applyFont="1" applyFill="1" applyAlignment="1">
      <alignment vertical="top"/>
    </xf>
    <xf numFmtId="0" fontId="0" fillId="0" borderId="0" xfId="0" applyAlignment="1">
      <alignment vertical="top"/>
    </xf>
    <xf numFmtId="0" fontId="11" fillId="0" borderId="1" xfId="0" applyFont="1" applyBorder="1"/>
    <xf numFmtId="0" fontId="10" fillId="0" borderId="1" xfId="0" applyFont="1" applyBorder="1"/>
    <xf numFmtId="166" fontId="13" fillId="0" borderId="1" xfId="1" applyNumberFormat="1" applyFont="1" applyBorder="1"/>
    <xf numFmtId="166" fontId="13" fillId="0" borderId="15" xfId="1" applyNumberFormat="1" applyFont="1" applyBorder="1"/>
    <xf numFmtId="166" fontId="13" fillId="0" borderId="20" xfId="2" applyNumberFormat="1" applyFont="1" applyBorder="1"/>
    <xf numFmtId="166" fontId="13" fillId="2" borderId="20" xfId="2" applyNumberFormat="1" applyFont="1" applyFill="1" applyBorder="1"/>
    <xf numFmtId="9" fontId="6" fillId="2" borderId="20" xfId="2" applyFont="1" applyFill="1" applyBorder="1"/>
    <xf numFmtId="9" fontId="6" fillId="2" borderId="20" xfId="2" applyFont="1" applyFill="1" applyBorder="1" applyAlignment="1">
      <alignment wrapText="1"/>
    </xf>
    <xf numFmtId="0" fontId="11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166" fontId="13" fillId="0" borderId="1" xfId="1" applyNumberFormat="1" applyFont="1" applyBorder="1" applyAlignment="1">
      <alignment vertical="top"/>
    </xf>
    <xf numFmtId="9" fontId="10" fillId="2" borderId="20" xfId="2" applyFont="1" applyFill="1" applyBorder="1" applyAlignment="1">
      <alignment vertical="top" wrapText="1"/>
    </xf>
    <xf numFmtId="0" fontId="14" fillId="3" borderId="1" xfId="0" applyFont="1" applyFill="1" applyBorder="1"/>
    <xf numFmtId="0" fontId="15" fillId="3" borderId="1" xfId="0" applyFont="1" applyFill="1" applyBorder="1"/>
    <xf numFmtId="166" fontId="13" fillId="3" borderId="1" xfId="1" applyNumberFormat="1" applyFont="1" applyFill="1" applyBorder="1" applyAlignment="1">
      <alignment horizontal="left"/>
    </xf>
    <xf numFmtId="9" fontId="6" fillId="6" borderId="20" xfId="2" applyFont="1" applyFill="1" applyBorder="1"/>
    <xf numFmtId="0" fontId="5" fillId="0" borderId="0" xfId="0" applyFont="1"/>
    <xf numFmtId="164" fontId="16" fillId="0" borderId="0" xfId="1" applyFont="1"/>
    <xf numFmtId="9" fontId="16" fillId="0" borderId="0" xfId="2" applyFont="1"/>
    <xf numFmtId="9" fontId="16" fillId="2" borderId="0" xfId="2" applyFont="1" applyFill="1"/>
    <xf numFmtId="9" fontId="5" fillId="2" borderId="9" xfId="2" applyFont="1" applyFill="1" applyBorder="1"/>
    <xf numFmtId="0" fontId="6" fillId="0" borderId="9" xfId="0" applyFont="1" applyBorder="1"/>
    <xf numFmtId="164" fontId="6" fillId="0" borderId="9" xfId="1" applyFont="1" applyBorder="1"/>
    <xf numFmtId="9" fontId="6" fillId="0" borderId="9" xfId="2" applyFont="1" applyBorder="1"/>
    <xf numFmtId="9" fontId="6" fillId="2" borderId="9" xfId="2" applyFont="1" applyFill="1" applyBorder="1"/>
    <xf numFmtId="9" fontId="5" fillId="7" borderId="9" xfId="2" applyFont="1" applyFill="1" applyBorder="1"/>
    <xf numFmtId="0" fontId="5" fillId="2" borderId="0" xfId="0" applyFont="1" applyFill="1"/>
    <xf numFmtId="0" fontId="4" fillId="7" borderId="1" xfId="0" applyFont="1" applyFill="1" applyBorder="1"/>
    <xf numFmtId="165" fontId="6" fillId="7" borderId="1" xfId="1" applyNumberFormat="1" applyFont="1" applyFill="1" applyBorder="1" applyAlignment="1">
      <alignment horizontal="left"/>
    </xf>
    <xf numFmtId="165" fontId="6" fillId="7" borderId="1" xfId="1" applyNumberFormat="1" applyFont="1" applyFill="1" applyBorder="1" applyAlignment="1">
      <alignment horizontal="left" wrapText="1"/>
    </xf>
    <xf numFmtId="165" fontId="3" fillId="7" borderId="1" xfId="1" applyNumberFormat="1" applyFont="1" applyFill="1" applyBorder="1" applyAlignment="1">
      <alignment horizontal="left" wrapText="1"/>
    </xf>
    <xf numFmtId="0" fontId="4" fillId="2" borderId="1" xfId="0" applyFont="1" applyFill="1" applyBorder="1"/>
    <xf numFmtId="165" fontId="6" fillId="2" borderId="21" xfId="1" applyNumberFormat="1" applyFont="1" applyFill="1" applyBorder="1" applyAlignment="1">
      <alignment horizontal="left" wrapText="1"/>
    </xf>
    <xf numFmtId="164" fontId="5" fillId="2" borderId="21" xfId="1" applyFont="1" applyFill="1" applyBorder="1"/>
    <xf numFmtId="164" fontId="0" fillId="0" borderId="0" xfId="0" applyNumberFormat="1"/>
    <xf numFmtId="0" fontId="9" fillId="2" borderId="2" xfId="0" applyFont="1" applyFill="1" applyBorder="1" applyAlignment="1">
      <alignment vertical="top" wrapText="1"/>
    </xf>
    <xf numFmtId="164" fontId="5" fillId="2" borderId="2" xfId="1" applyFont="1" applyFill="1" applyBorder="1" applyAlignment="1">
      <alignment vertical="top"/>
    </xf>
    <xf numFmtId="164" fontId="5" fillId="2" borderId="5" xfId="1" applyFont="1" applyFill="1" applyBorder="1" applyAlignment="1">
      <alignment vertical="top"/>
    </xf>
    <xf numFmtId="0" fontId="9" fillId="2" borderId="5" xfId="0" applyFont="1" applyFill="1" applyBorder="1" applyAlignment="1">
      <alignment vertical="top" wrapText="1"/>
    </xf>
    <xf numFmtId="164" fontId="5" fillId="2" borderId="5" xfId="1" applyFont="1" applyFill="1" applyBorder="1"/>
    <xf numFmtId="0" fontId="9" fillId="2" borderId="5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vertical="top"/>
    </xf>
    <xf numFmtId="164" fontId="2" fillId="2" borderId="5" xfId="1" applyFont="1" applyFill="1" applyBorder="1"/>
    <xf numFmtId="0" fontId="6" fillId="0" borderId="5" xfId="0" applyFont="1" applyBorder="1"/>
    <xf numFmtId="0" fontId="6" fillId="2" borderId="5" xfId="0" applyFont="1" applyFill="1" applyBorder="1"/>
    <xf numFmtId="0" fontId="6" fillId="0" borderId="5" xfId="0" applyFont="1" applyBorder="1" applyAlignment="1">
      <alignment wrapText="1"/>
    </xf>
    <xf numFmtId="167" fontId="5" fillId="2" borderId="5" xfId="1" applyNumberFormat="1" applyFont="1" applyFill="1" applyBorder="1"/>
    <xf numFmtId="164" fontId="5" fillId="2" borderId="3" xfId="1" applyFont="1" applyFill="1" applyBorder="1"/>
    <xf numFmtId="164" fontId="0" fillId="2" borderId="5" xfId="1" applyFont="1" applyFill="1" applyBorder="1"/>
    <xf numFmtId="0" fontId="6" fillId="0" borderId="7" xfId="0" applyFont="1" applyBorder="1"/>
    <xf numFmtId="164" fontId="5" fillId="2" borderId="7" xfId="1" applyFont="1" applyFill="1" applyBorder="1"/>
    <xf numFmtId="0" fontId="6" fillId="7" borderId="22" xfId="0" applyFont="1" applyFill="1" applyBorder="1"/>
    <xf numFmtId="164" fontId="6" fillId="7" borderId="22" xfId="0" applyNumberFormat="1" applyFont="1" applyFill="1" applyBorder="1"/>
    <xf numFmtId="0" fontId="4" fillId="0" borderId="1" xfId="0" applyFont="1" applyBorder="1"/>
    <xf numFmtId="165" fontId="6" fillId="3" borderId="4" xfId="1" applyNumberFormat="1" applyFont="1" applyFill="1" applyBorder="1" applyAlignment="1">
      <alignment horizontal="left"/>
    </xf>
    <xf numFmtId="165" fontId="6" fillId="2" borderId="4" xfId="1" applyNumberFormat="1" applyFont="1" applyFill="1" applyBorder="1" applyAlignment="1">
      <alignment horizontal="left"/>
    </xf>
    <xf numFmtId="165" fontId="6" fillId="5" borderId="1" xfId="1" applyNumberFormat="1" applyFont="1" applyFill="1" applyBorder="1" applyAlignment="1">
      <alignment horizontal="left" wrapText="1"/>
    </xf>
    <xf numFmtId="165" fontId="3" fillId="5" borderId="1" xfId="1" applyNumberFormat="1" applyFont="1" applyFill="1" applyBorder="1" applyAlignment="1">
      <alignment horizontal="left" wrapText="1"/>
    </xf>
    <xf numFmtId="166" fontId="6" fillId="0" borderId="1" xfId="1" applyNumberFormat="1" applyFont="1" applyBorder="1"/>
    <xf numFmtId="164" fontId="6" fillId="2" borderId="1" xfId="0" applyNumberFormat="1" applyFont="1" applyFill="1" applyBorder="1" applyAlignment="1">
      <alignment horizontal="center"/>
    </xf>
    <xf numFmtId="166" fontId="6" fillId="2" borderId="1" xfId="1" applyNumberFormat="1" applyFont="1" applyFill="1" applyBorder="1"/>
    <xf numFmtId="166" fontId="3" fillId="2" borderId="1" xfId="1" applyNumberFormat="1" applyFont="1" applyFill="1" applyBorder="1"/>
    <xf numFmtId="164" fontId="5" fillId="2" borderId="0" xfId="1" applyFont="1" applyFill="1"/>
    <xf numFmtId="0" fontId="5" fillId="4" borderId="1" xfId="0" applyFont="1" applyFill="1" applyBorder="1"/>
    <xf numFmtId="164" fontId="6" fillId="0" borderId="1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164" fontId="5" fillId="0" borderId="1" xfId="1" applyFont="1" applyBorder="1"/>
    <xf numFmtId="164" fontId="5" fillId="2" borderId="1" xfId="1" applyFont="1" applyFill="1" applyBorder="1"/>
    <xf numFmtId="164" fontId="0" fillId="2" borderId="1" xfId="1" applyFont="1" applyFill="1" applyBorder="1"/>
    <xf numFmtId="164" fontId="6" fillId="0" borderId="1" xfId="0" applyNumberFormat="1" applyFont="1" applyBorder="1"/>
    <xf numFmtId="164" fontId="3" fillId="2" borderId="1" xfId="0" applyNumberFormat="1" applyFont="1" applyFill="1" applyBorder="1"/>
    <xf numFmtId="164" fontId="5" fillId="8" borderId="9" xfId="2" applyNumberFormat="1" applyFont="1" applyFill="1" applyBorder="1"/>
    <xf numFmtId="9" fontId="5" fillId="8" borderId="9" xfId="2" applyFont="1" applyFill="1" applyBorder="1"/>
    <xf numFmtId="9" fontId="6" fillId="8" borderId="9" xfId="2" applyFont="1" applyFill="1" applyBorder="1"/>
    <xf numFmtId="166" fontId="5" fillId="2" borderId="3" xfId="2" applyNumberFormat="1" applyFont="1" applyFill="1" applyBorder="1"/>
    <xf numFmtId="166" fontId="0" fillId="2" borderId="3" xfId="2" applyNumberFormat="1" applyFont="1" applyFill="1" applyBorder="1"/>
    <xf numFmtId="166" fontId="0" fillId="2" borderId="3" xfId="1" applyNumberFormat="1" applyFont="1" applyFill="1" applyBorder="1"/>
    <xf numFmtId="166" fontId="5" fillId="2" borderId="11" xfId="2" applyNumberFormat="1" applyFont="1" applyFill="1" applyBorder="1"/>
    <xf numFmtId="166" fontId="0" fillId="2" borderId="11" xfId="0" applyNumberFormat="1" applyFill="1" applyBorder="1"/>
    <xf numFmtId="166" fontId="0" fillId="2" borderId="11" xfId="1" applyNumberFormat="1" applyFont="1" applyFill="1" applyBorder="1" applyAlignment="1"/>
    <xf numFmtId="164" fontId="0" fillId="2" borderId="11" xfId="2" applyNumberFormat="1" applyFont="1" applyFill="1" applyBorder="1" applyAlignment="1"/>
    <xf numFmtId="164" fontId="5" fillId="2" borderId="11" xfId="1" applyFont="1" applyFill="1" applyBorder="1" applyAlignment="1"/>
    <xf numFmtId="164" fontId="5" fillId="2" borderId="23" xfId="2" applyNumberFormat="1" applyFont="1" applyFill="1" applyBorder="1" applyAlignment="1"/>
    <xf numFmtId="164" fontId="5" fillId="2" borderId="23" xfId="1" applyFont="1" applyFill="1" applyBorder="1" applyAlignment="1"/>
    <xf numFmtId="166" fontId="6" fillId="3" borderId="24" xfId="1" applyNumberFormat="1" applyFont="1" applyFill="1" applyBorder="1" applyAlignment="1">
      <alignment horizontal="left"/>
    </xf>
    <xf numFmtId="9" fontId="6" fillId="2" borderId="25" xfId="2" applyFont="1" applyFill="1" applyBorder="1" applyAlignment="1">
      <alignment horizontal="left" indent="1"/>
    </xf>
    <xf numFmtId="166" fontId="11" fillId="0" borderId="26" xfId="1" applyNumberFormat="1" applyFont="1" applyBorder="1" applyAlignment="1">
      <alignment horizontal="left" vertical="top" indent="1"/>
    </xf>
    <xf numFmtId="166" fontId="11" fillId="4" borderId="16" xfId="1" applyNumberFormat="1" applyFont="1" applyFill="1" applyBorder="1" applyAlignment="1">
      <alignment horizontal="left" vertical="top" indent="1"/>
    </xf>
    <xf numFmtId="166" fontId="13" fillId="0" borderId="15" xfId="1" applyNumberFormat="1" applyFont="1" applyBorder="1" applyAlignment="1">
      <alignment vertical="top"/>
    </xf>
    <xf numFmtId="166" fontId="13" fillId="3" borderId="15" xfId="1" applyNumberFormat="1" applyFont="1" applyFill="1" applyBorder="1" applyAlignment="1">
      <alignment horizontal="left"/>
    </xf>
    <xf numFmtId="164" fontId="5" fillId="0" borderId="2" xfId="1" applyFont="1" applyFill="1" applyBorder="1" applyAlignment="1"/>
    <xf numFmtId="166" fontId="5" fillId="0" borderId="5" xfId="0" applyNumberFormat="1" applyFont="1" applyBorder="1" applyAlignment="1">
      <alignment wrapText="1"/>
    </xf>
    <xf numFmtId="164" fontId="6" fillId="3" borderId="7" xfId="0" applyNumberFormat="1" applyFont="1" applyFill="1" applyBorder="1"/>
    <xf numFmtId="166" fontId="5" fillId="0" borderId="0" xfId="1" applyNumberFormat="1" applyFont="1"/>
    <xf numFmtId="166" fontId="5" fillId="0" borderId="9" xfId="1" applyNumberFormat="1" applyFont="1" applyBorder="1"/>
    <xf numFmtId="0" fontId="5" fillId="0" borderId="0" xfId="0" applyFont="1" applyAlignment="1">
      <alignment vertical="top"/>
    </xf>
    <xf numFmtId="166" fontId="5" fillId="0" borderId="5" xfId="0" applyNumberFormat="1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5" fillId="0" borderId="9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164" fontId="5" fillId="0" borderId="27" xfId="0" applyNumberFormat="1" applyFont="1" applyBorder="1" applyAlignment="1">
      <alignment wrapText="1"/>
    </xf>
    <xf numFmtId="164" fontId="6" fillId="3" borderId="16" xfId="0" applyNumberFormat="1" applyFont="1" applyFill="1" applyBorder="1" applyAlignment="1">
      <alignment vertical="top"/>
    </xf>
    <xf numFmtId="164" fontId="5" fillId="0" borderId="1" xfId="0" applyNumberFormat="1" applyFont="1" applyBorder="1" applyAlignment="1">
      <alignment wrapText="1"/>
    </xf>
    <xf numFmtId="0" fontId="5" fillId="0" borderId="29" xfId="0" applyFont="1" applyBorder="1"/>
    <xf numFmtId="164" fontId="5" fillId="0" borderId="1" xfId="0" applyNumberFormat="1" applyFont="1" applyBorder="1" applyAlignment="1">
      <alignment vertical="top" wrapText="1"/>
    </xf>
    <xf numFmtId="164" fontId="5" fillId="0" borderId="0" xfId="0" applyNumberFormat="1" applyFont="1" applyAlignment="1">
      <alignment wrapText="1"/>
    </xf>
    <xf numFmtId="166" fontId="5" fillId="0" borderId="0" xfId="0" applyNumberFormat="1" applyFont="1" applyAlignment="1">
      <alignment vertical="top" wrapText="1"/>
    </xf>
    <xf numFmtId="166" fontId="5" fillId="0" borderId="0" xfId="0" applyNumberFormat="1" applyFont="1" applyAlignment="1">
      <alignment wrapText="1"/>
    </xf>
    <xf numFmtId="164" fontId="5" fillId="0" borderId="9" xfId="0" applyNumberFormat="1" applyFont="1" applyBorder="1" applyAlignment="1">
      <alignment wrapText="1"/>
    </xf>
    <xf numFmtId="166" fontId="5" fillId="0" borderId="9" xfId="0" applyNumberFormat="1" applyFont="1" applyBorder="1" applyAlignment="1">
      <alignment vertical="top" wrapText="1"/>
    </xf>
    <xf numFmtId="166" fontId="5" fillId="0" borderId="9" xfId="0" applyNumberFormat="1" applyFont="1" applyBorder="1" applyAlignment="1">
      <alignment wrapText="1"/>
    </xf>
    <xf numFmtId="166" fontId="5" fillId="0" borderId="0" xfId="1" applyNumberFormat="1" applyFont="1" applyAlignment="1">
      <alignment horizontal="left"/>
    </xf>
    <xf numFmtId="164" fontId="0" fillId="0" borderId="0" xfId="1" applyFont="1"/>
    <xf numFmtId="0" fontId="3" fillId="0" borderId="0" xfId="0" applyFont="1"/>
    <xf numFmtId="0" fontId="6" fillId="2" borderId="0" xfId="0" applyFont="1" applyFill="1"/>
    <xf numFmtId="0" fontId="3" fillId="2" borderId="0" xfId="0" applyFont="1" applyFill="1"/>
    <xf numFmtId="166" fontId="3" fillId="0" borderId="0" xfId="1" applyNumberFormat="1" applyFont="1"/>
    <xf numFmtId="166" fontId="5" fillId="0" borderId="1" xfId="0" applyNumberFormat="1" applyFont="1" applyBorder="1" applyAlignment="1">
      <alignment vertical="top" wrapText="1"/>
    </xf>
    <xf numFmtId="166" fontId="6" fillId="3" borderId="16" xfId="0" applyNumberFormat="1" applyFont="1" applyFill="1" applyBorder="1" applyAlignment="1">
      <alignment vertical="top"/>
    </xf>
    <xf numFmtId="164" fontId="3" fillId="0" borderId="0" xfId="1" applyFont="1"/>
    <xf numFmtId="164" fontId="5" fillId="9" borderId="5" xfId="0" applyNumberFormat="1" applyFont="1" applyFill="1" applyBorder="1" applyAlignment="1">
      <alignment wrapText="1"/>
    </xf>
    <xf numFmtId="164" fontId="5" fillId="9" borderId="5" xfId="1" applyFont="1" applyFill="1" applyBorder="1" applyAlignment="1"/>
    <xf numFmtId="9" fontId="5" fillId="9" borderId="5" xfId="2" applyFont="1" applyFill="1" applyBorder="1" applyAlignment="1"/>
    <xf numFmtId="164" fontId="5" fillId="9" borderId="5" xfId="2" applyNumberFormat="1" applyFont="1" applyFill="1" applyBorder="1" applyAlignment="1"/>
    <xf numFmtId="164" fontId="5" fillId="9" borderId="23" xfId="2" applyNumberFormat="1" applyFont="1" applyFill="1" applyBorder="1" applyAlignment="1"/>
    <xf numFmtId="164" fontId="5" fillId="9" borderId="13" xfId="2" applyNumberFormat="1" applyFont="1" applyFill="1" applyBorder="1"/>
    <xf numFmtId="0" fontId="0" fillId="9" borderId="0" xfId="0" applyFill="1"/>
    <xf numFmtId="0" fontId="2" fillId="9" borderId="0" xfId="0" applyFont="1" applyFill="1"/>
    <xf numFmtId="0" fontId="5" fillId="9" borderId="5" xfId="0" applyFont="1" applyFill="1" applyBorder="1"/>
    <xf numFmtId="164" fontId="2" fillId="9" borderId="0" xfId="1" applyFont="1" applyFill="1"/>
    <xf numFmtId="0" fontId="5" fillId="0" borderId="29" xfId="0" applyFont="1" applyBorder="1" applyAlignment="1">
      <alignment vertical="top"/>
    </xf>
    <xf numFmtId="0" fontId="2" fillId="0" borderId="0" xfId="0" applyFont="1" applyAlignment="1">
      <alignment vertical="top"/>
    </xf>
    <xf numFmtId="164" fontId="5" fillId="0" borderId="0" xfId="0" applyNumberFormat="1" applyFont="1" applyAlignment="1">
      <alignment vertical="top" wrapText="1"/>
    </xf>
    <xf numFmtId="164" fontId="5" fillId="0" borderId="4" xfId="0" applyNumberFormat="1" applyFont="1" applyBorder="1" applyAlignment="1">
      <alignment vertical="top" wrapText="1"/>
    </xf>
    <xf numFmtId="0" fontId="5" fillId="0" borderId="32" xfId="0" applyFont="1" applyBorder="1" applyAlignment="1">
      <alignment wrapText="1"/>
    </xf>
    <xf numFmtId="166" fontId="6" fillId="3" borderId="7" xfId="0" applyNumberFormat="1" applyFont="1" applyFill="1" applyBorder="1" applyAlignment="1">
      <alignment vertical="top"/>
    </xf>
    <xf numFmtId="164" fontId="6" fillId="0" borderId="5" xfId="0" applyNumberFormat="1" applyFont="1" applyBorder="1" applyAlignment="1">
      <alignment wrapText="1"/>
    </xf>
    <xf numFmtId="166" fontId="6" fillId="0" borderId="5" xfId="0" applyNumberFormat="1" applyFont="1" applyBorder="1" applyAlignment="1">
      <alignment vertical="top" wrapText="1"/>
    </xf>
    <xf numFmtId="0" fontId="5" fillId="2" borderId="31" xfId="0" applyFont="1" applyFill="1" applyBorder="1"/>
    <xf numFmtId="164" fontId="5" fillId="2" borderId="1" xfId="0" applyNumberFormat="1" applyFont="1" applyFill="1" applyBorder="1" applyAlignment="1">
      <alignment vertical="top" wrapText="1"/>
    </xf>
    <xf numFmtId="164" fontId="0" fillId="2" borderId="15" xfId="1" applyFont="1" applyFill="1" applyBorder="1"/>
    <xf numFmtId="166" fontId="5" fillId="0" borderId="33" xfId="0" applyNumberFormat="1" applyFont="1" applyBorder="1" applyAlignment="1">
      <alignment vertical="top" wrapText="1"/>
    </xf>
    <xf numFmtId="0" fontId="5" fillId="2" borderId="1" xfId="0" applyFont="1" applyFill="1" applyBorder="1" applyAlignment="1">
      <alignment vertical="top"/>
    </xf>
    <xf numFmtId="0" fontId="5" fillId="0" borderId="1" xfId="0" applyFont="1" applyBorder="1" applyAlignment="1">
      <alignment vertical="top"/>
    </xf>
    <xf numFmtId="164" fontId="5" fillId="8" borderId="27" xfId="0" applyNumberFormat="1" applyFont="1" applyFill="1" applyBorder="1" applyAlignment="1">
      <alignment wrapText="1"/>
    </xf>
    <xf numFmtId="166" fontId="5" fillId="8" borderId="5" xfId="0" applyNumberFormat="1" applyFont="1" applyFill="1" applyBorder="1" applyAlignment="1">
      <alignment wrapText="1"/>
    </xf>
    <xf numFmtId="164" fontId="5" fillId="8" borderId="5" xfId="0" applyNumberFormat="1" applyFont="1" applyFill="1" applyBorder="1" applyAlignment="1">
      <alignment wrapText="1"/>
    </xf>
    <xf numFmtId="166" fontId="5" fillId="8" borderId="5" xfId="0" applyNumberFormat="1" applyFont="1" applyFill="1" applyBorder="1" applyAlignment="1">
      <alignment vertical="top" wrapText="1"/>
    </xf>
    <xf numFmtId="0" fontId="5" fillId="8" borderId="28" xfId="0" applyFont="1" applyFill="1" applyBorder="1"/>
    <xf numFmtId="166" fontId="5" fillId="8" borderId="5" xfId="1" applyNumberFormat="1" applyFont="1" applyFill="1" applyBorder="1" applyAlignment="1">
      <alignment vertical="top"/>
    </xf>
    <xf numFmtId="164" fontId="5" fillId="8" borderId="27" xfId="0" applyNumberFormat="1" applyFont="1" applyFill="1" applyBorder="1" applyAlignment="1">
      <alignment vertical="top" wrapText="1"/>
    </xf>
    <xf numFmtId="164" fontId="5" fillId="8" borderId="5" xfId="0" applyNumberFormat="1" applyFont="1" applyFill="1" applyBorder="1" applyAlignment="1">
      <alignment vertical="top" wrapText="1"/>
    </xf>
    <xf numFmtId="164" fontId="5" fillId="8" borderId="1" xfId="0" applyNumberFormat="1" applyFont="1" applyFill="1" applyBorder="1" applyAlignment="1">
      <alignment vertical="top" wrapText="1"/>
    </xf>
    <xf numFmtId="0" fontId="5" fillId="8" borderId="29" xfId="0" applyFont="1" applyFill="1" applyBorder="1" applyAlignment="1">
      <alignment vertical="top"/>
    </xf>
    <xf numFmtId="0" fontId="2" fillId="8" borderId="0" xfId="0" applyFont="1" applyFill="1" applyAlignment="1">
      <alignment vertical="top"/>
    </xf>
    <xf numFmtId="0" fontId="5" fillId="8" borderId="5" xfId="0" applyFont="1" applyFill="1" applyBorder="1"/>
    <xf numFmtId="0" fontId="0" fillId="0" borderId="8" xfId="0" applyBorder="1"/>
    <xf numFmtId="43" fontId="0" fillId="0" borderId="8" xfId="3" applyFont="1" applyBorder="1"/>
    <xf numFmtId="168" fontId="3" fillId="0" borderId="0" xfId="0" applyNumberFormat="1" applyFont="1"/>
    <xf numFmtId="168" fontId="0" fillId="0" borderId="0" xfId="3" applyNumberFormat="1" applyFont="1"/>
    <xf numFmtId="168" fontId="3" fillId="0" borderId="0" xfId="3" applyNumberFormat="1" applyFont="1" applyBorder="1"/>
    <xf numFmtId="168" fontId="3" fillId="0" borderId="0" xfId="3" applyNumberFormat="1" applyFont="1"/>
    <xf numFmtId="168" fontId="2" fillId="0" borderId="0" xfId="3" applyNumberFormat="1" applyFont="1"/>
    <xf numFmtId="0" fontId="19" fillId="0" borderId="0" xfId="0" applyFont="1"/>
    <xf numFmtId="168" fontId="0" fillId="0" borderId="0" xfId="0" applyNumberFormat="1"/>
    <xf numFmtId="164" fontId="5" fillId="0" borderId="0" xfId="0" applyNumberFormat="1" applyFont="1"/>
    <xf numFmtId="166" fontId="5" fillId="0" borderId="0" xfId="0" applyNumberFormat="1" applyFont="1" applyAlignment="1">
      <alignment vertical="top"/>
    </xf>
    <xf numFmtId="0" fontId="6" fillId="3" borderId="16" xfId="0" applyFont="1" applyFill="1" applyBorder="1" applyAlignment="1">
      <alignment vertical="top"/>
    </xf>
    <xf numFmtId="166" fontId="0" fillId="2" borderId="0" xfId="1" applyNumberFormat="1" applyFont="1" applyFill="1" applyAlignment="1">
      <alignment vertical="top"/>
    </xf>
    <xf numFmtId="166" fontId="0" fillId="2" borderId="0" xfId="0" applyNumberFormat="1" applyFill="1" applyAlignment="1">
      <alignment vertical="top"/>
    </xf>
    <xf numFmtId="164" fontId="2" fillId="2" borderId="0" xfId="1" applyFont="1" applyFill="1" applyAlignment="1">
      <alignment vertical="top"/>
    </xf>
    <xf numFmtId="164" fontId="2" fillId="2" borderId="0" xfId="0" applyNumberFormat="1" applyFont="1" applyFill="1" applyAlignment="1">
      <alignment vertical="top"/>
    </xf>
    <xf numFmtId="165" fontId="0" fillId="2" borderId="0" xfId="0" applyNumberFormat="1" applyFill="1"/>
    <xf numFmtId="166" fontId="5" fillId="8" borderId="1" xfId="0" applyNumberFormat="1" applyFont="1" applyFill="1" applyBorder="1" applyAlignment="1">
      <alignment vertical="top" wrapText="1"/>
    </xf>
    <xf numFmtId="168" fontId="0" fillId="2" borderId="0" xfId="3" applyNumberFormat="1" applyFont="1" applyFill="1"/>
    <xf numFmtId="166" fontId="6" fillId="0" borderId="5" xfId="0" applyNumberFormat="1" applyFont="1" applyBorder="1" applyAlignment="1">
      <alignment wrapText="1"/>
    </xf>
    <xf numFmtId="166" fontId="6" fillId="0" borderId="30" xfId="1" applyNumberFormat="1" applyFont="1" applyBorder="1" applyAlignment="1">
      <alignment horizontal="left" vertical="top"/>
    </xf>
    <xf numFmtId="166" fontId="6" fillId="0" borderId="0" xfId="0" applyNumberFormat="1" applyFont="1" applyAlignment="1">
      <alignment vertical="top" wrapText="1"/>
    </xf>
    <xf numFmtId="0" fontId="6" fillId="2" borderId="1" xfId="0" applyFont="1" applyFill="1" applyBorder="1"/>
    <xf numFmtId="164" fontId="6" fillId="2" borderId="1" xfId="0" applyNumberFormat="1" applyFont="1" applyFill="1" applyBorder="1"/>
    <xf numFmtId="166" fontId="6" fillId="2" borderId="1" xfId="0" applyNumberFormat="1" applyFont="1" applyFill="1" applyBorder="1" applyAlignment="1">
      <alignment vertical="top"/>
    </xf>
    <xf numFmtId="0" fontId="6" fillId="2" borderId="7" xfId="0" applyFont="1" applyFill="1" applyBorder="1"/>
    <xf numFmtId="164" fontId="6" fillId="2" borderId="7" xfId="0" applyNumberFormat="1" applyFont="1" applyFill="1" applyBorder="1"/>
    <xf numFmtId="166" fontId="6" fillId="2" borderId="7" xfId="0" applyNumberFormat="1" applyFont="1" applyFill="1" applyBorder="1" applyAlignment="1">
      <alignment vertical="top"/>
    </xf>
    <xf numFmtId="164" fontId="5" fillId="2" borderId="27" xfId="0" applyNumberFormat="1" applyFont="1" applyFill="1" applyBorder="1" applyAlignment="1">
      <alignment vertical="top" wrapText="1"/>
    </xf>
    <xf numFmtId="166" fontId="5" fillId="2" borderId="5" xfId="0" applyNumberFormat="1" applyFont="1" applyFill="1" applyBorder="1" applyAlignment="1">
      <alignment vertical="top" wrapText="1"/>
    </xf>
    <xf numFmtId="164" fontId="5" fillId="2" borderId="5" xfId="0" applyNumberFormat="1" applyFont="1" applyFill="1" applyBorder="1" applyAlignment="1">
      <alignment vertical="top" wrapText="1"/>
    </xf>
    <xf numFmtId="166" fontId="5" fillId="2" borderId="5" xfId="0" applyNumberFormat="1" applyFont="1" applyFill="1" applyBorder="1" applyAlignment="1">
      <alignment wrapText="1"/>
    </xf>
    <xf numFmtId="164" fontId="5" fillId="2" borderId="27" xfId="0" applyNumberFormat="1" applyFont="1" applyFill="1" applyBorder="1" applyAlignment="1">
      <alignment wrapText="1"/>
    </xf>
    <xf numFmtId="164" fontId="5" fillId="2" borderId="5" xfId="0" applyNumberFormat="1" applyFont="1" applyFill="1" applyBorder="1" applyAlignment="1">
      <alignment wrapText="1"/>
    </xf>
    <xf numFmtId="0" fontId="5" fillId="2" borderId="28" xfId="0" applyFont="1" applyFill="1" applyBorder="1"/>
    <xf numFmtId="166" fontId="5" fillId="2" borderId="5" xfId="1" applyNumberFormat="1" applyFont="1" applyFill="1" applyBorder="1" applyAlignment="1">
      <alignment vertical="top"/>
    </xf>
    <xf numFmtId="0" fontId="5" fillId="2" borderId="29" xfId="0" applyFont="1" applyFill="1" applyBorder="1" applyAlignment="1">
      <alignment vertical="top"/>
    </xf>
    <xf numFmtId="166" fontId="5" fillId="2" borderId="1" xfId="0" applyNumberFormat="1" applyFont="1" applyFill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/>
    </xf>
    <xf numFmtId="0" fontId="6" fillId="0" borderId="29" xfId="0" applyFont="1" applyBorder="1" applyAlignment="1">
      <alignment vertical="top"/>
    </xf>
    <xf numFmtId="166" fontId="6" fillId="0" borderId="1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wrapText="1"/>
    </xf>
    <xf numFmtId="0" fontId="6" fillId="0" borderId="29" xfId="0" applyFont="1" applyBorder="1"/>
    <xf numFmtId="0" fontId="6" fillId="0" borderId="9" xfId="0" applyFont="1" applyBorder="1" applyAlignment="1">
      <alignment wrapText="1"/>
    </xf>
    <xf numFmtId="164" fontId="6" fillId="0" borderId="9" xfId="0" applyNumberFormat="1" applyFont="1" applyBorder="1" applyAlignment="1">
      <alignment wrapText="1"/>
    </xf>
    <xf numFmtId="166" fontId="6" fillId="0" borderId="9" xfId="1" applyNumberFormat="1" applyFont="1" applyBorder="1"/>
    <xf numFmtId="166" fontId="6" fillId="0" borderId="9" xfId="0" applyNumberFormat="1" applyFont="1" applyBorder="1" applyAlignment="1">
      <alignment wrapText="1"/>
    </xf>
    <xf numFmtId="166" fontId="6" fillId="0" borderId="9" xfId="0" applyNumberFormat="1" applyFont="1" applyBorder="1" applyAlignment="1">
      <alignment vertical="top" wrapText="1"/>
    </xf>
    <xf numFmtId="165" fontId="6" fillId="2" borderId="3" xfId="1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2" fillId="2" borderId="29" xfId="0" applyFont="1" applyFill="1" applyBorder="1" applyAlignment="1">
      <alignment vertical="top"/>
    </xf>
    <xf numFmtId="166" fontId="2" fillId="2" borderId="1" xfId="0" applyNumberFormat="1" applyFont="1" applyFill="1" applyBorder="1" applyAlignment="1">
      <alignment vertical="top" wrapText="1"/>
    </xf>
    <xf numFmtId="164" fontId="20" fillId="2" borderId="1" xfId="0" applyNumberFormat="1" applyFont="1" applyFill="1" applyBorder="1" applyAlignment="1">
      <alignment vertical="top" wrapText="1"/>
    </xf>
    <xf numFmtId="0" fontId="20" fillId="2" borderId="29" xfId="0" applyFont="1" applyFill="1" applyBorder="1" applyAlignment="1">
      <alignment vertical="top"/>
    </xf>
    <xf numFmtId="166" fontId="20" fillId="2" borderId="1" xfId="0" applyNumberFormat="1" applyFont="1" applyFill="1" applyBorder="1" applyAlignment="1">
      <alignment vertical="top" wrapText="1"/>
    </xf>
    <xf numFmtId="164" fontId="20" fillId="2" borderId="0" xfId="1" applyFont="1" applyFill="1" applyAlignment="1">
      <alignment vertical="top"/>
    </xf>
    <xf numFmtId="0" fontId="20" fillId="2" borderId="0" xfId="0" applyFont="1" applyFill="1" applyAlignment="1">
      <alignment vertical="top"/>
    </xf>
    <xf numFmtId="0" fontId="20" fillId="8" borderId="0" xfId="0" applyFont="1" applyFill="1" applyAlignment="1">
      <alignment vertical="top"/>
    </xf>
    <xf numFmtId="164" fontId="20" fillId="2" borderId="0" xfId="0" applyNumberFormat="1" applyFont="1" applyFill="1" applyAlignment="1">
      <alignment vertical="top"/>
    </xf>
    <xf numFmtId="0" fontId="6" fillId="0" borderId="21" xfId="0" applyFont="1" applyBorder="1" applyAlignment="1">
      <alignment wrapText="1"/>
    </xf>
    <xf numFmtId="0" fontId="6" fillId="0" borderId="21" xfId="0" applyFont="1" applyBorder="1"/>
    <xf numFmtId="164" fontId="6" fillId="0" borderId="21" xfId="0" applyNumberFormat="1" applyFont="1" applyBorder="1" applyAlignment="1">
      <alignment wrapText="1"/>
    </xf>
    <xf numFmtId="166" fontId="6" fillId="0" borderId="21" xfId="1" applyNumberFormat="1" applyFont="1" applyBorder="1"/>
    <xf numFmtId="166" fontId="6" fillId="0" borderId="5" xfId="1" applyNumberFormat="1" applyFont="1" applyBorder="1"/>
    <xf numFmtId="164" fontId="6" fillId="0" borderId="7" xfId="0" applyNumberFormat="1" applyFont="1" applyBorder="1" applyAlignment="1">
      <alignment wrapText="1"/>
    </xf>
    <xf numFmtId="166" fontId="6" fillId="0" borderId="7" xfId="0" applyNumberFormat="1" applyFont="1" applyBorder="1" applyAlignment="1">
      <alignment wrapText="1"/>
    </xf>
    <xf numFmtId="166" fontId="6" fillId="0" borderId="7" xfId="0" applyNumberFormat="1" applyFont="1" applyBorder="1" applyAlignment="1">
      <alignment vertical="top" wrapText="1"/>
    </xf>
    <xf numFmtId="0" fontId="21" fillId="3" borderId="9" xfId="4" applyFont="1" applyFill="1" applyBorder="1"/>
    <xf numFmtId="168" fontId="22" fillId="3" borderId="9" xfId="4" applyNumberFormat="1" applyFont="1" applyFill="1" applyBorder="1"/>
    <xf numFmtId="0" fontId="22" fillId="3" borderId="9" xfId="4" applyFont="1" applyFill="1" applyBorder="1"/>
    <xf numFmtId="0" fontId="21" fillId="0" borderId="14" xfId="4" applyFont="1" applyBorder="1"/>
    <xf numFmtId="168" fontId="23" fillId="0" borderId="14" xfId="5" applyNumberFormat="1" applyFont="1" applyBorder="1"/>
    <xf numFmtId="0" fontId="21" fillId="0" borderId="8" xfId="4" applyFont="1" applyBorder="1"/>
    <xf numFmtId="168" fontId="23" fillId="0" borderId="8" xfId="5" applyNumberFormat="1" applyFont="1" applyBorder="1"/>
    <xf numFmtId="168" fontId="22" fillId="3" borderId="9" xfId="5" applyNumberFormat="1" applyFont="1" applyFill="1" applyBorder="1"/>
    <xf numFmtId="0" fontId="24" fillId="0" borderId="8" xfId="4" applyFont="1" applyBorder="1"/>
    <xf numFmtId="168" fontId="22" fillId="0" borderId="8" xfId="5" applyNumberFormat="1" applyFont="1" applyBorder="1"/>
    <xf numFmtId="0" fontId="22" fillId="0" borderId="9" xfId="4" applyFont="1" applyBorder="1"/>
    <xf numFmtId="168" fontId="22" fillId="0" borderId="9" xfId="5" applyNumberFormat="1" applyFont="1" applyBorder="1"/>
    <xf numFmtId="166" fontId="6" fillId="0" borderId="5" xfId="1" applyNumberFormat="1" applyFont="1" applyBorder="1" applyAlignment="1">
      <alignment wrapText="1"/>
    </xf>
    <xf numFmtId="0" fontId="6" fillId="2" borderId="0" xfId="0" applyFont="1" applyFill="1" applyAlignment="1">
      <alignment vertical="top"/>
    </xf>
    <xf numFmtId="164" fontId="6" fillId="2" borderId="0" xfId="0" applyNumberFormat="1" applyFont="1" applyFill="1" applyAlignment="1">
      <alignment vertical="top"/>
    </xf>
    <xf numFmtId="166" fontId="6" fillId="2" borderId="0" xfId="0" applyNumberFormat="1" applyFont="1" applyFill="1" applyAlignment="1">
      <alignment vertical="top"/>
    </xf>
    <xf numFmtId="0" fontId="22" fillId="0" borderId="8" xfId="4" applyFont="1" applyBorder="1"/>
    <xf numFmtId="168" fontId="25" fillId="0" borderId="8" xfId="5" applyNumberFormat="1" applyFont="1" applyBorder="1"/>
    <xf numFmtId="164" fontId="6" fillId="2" borderId="1" xfId="0" applyNumberFormat="1" applyFont="1" applyFill="1" applyBorder="1" applyAlignment="1">
      <alignment vertical="top" wrapText="1"/>
    </xf>
    <xf numFmtId="166" fontId="6" fillId="2" borderId="1" xfId="0" applyNumberFormat="1" applyFont="1" applyFill="1" applyBorder="1" applyAlignment="1">
      <alignment vertical="top" wrapText="1"/>
    </xf>
    <xf numFmtId="0" fontId="6" fillId="8" borderId="0" xfId="0" applyFont="1" applyFill="1" applyAlignment="1">
      <alignment vertical="top"/>
    </xf>
    <xf numFmtId="164" fontId="5" fillId="0" borderId="0" xfId="0" applyNumberFormat="1" applyFont="1" applyAlignment="1">
      <alignment vertical="top"/>
    </xf>
    <xf numFmtId="0" fontId="6" fillId="2" borderId="1" xfId="0" applyFont="1" applyFill="1" applyBorder="1" applyAlignment="1">
      <alignment vertical="top"/>
    </xf>
    <xf numFmtId="0" fontId="5" fillId="2" borderId="1" xfId="0" applyFont="1" applyFill="1" applyBorder="1"/>
    <xf numFmtId="166" fontId="5" fillId="0" borderId="1" xfId="1" applyNumberFormat="1" applyFont="1" applyBorder="1"/>
    <xf numFmtId="0" fontId="5" fillId="0" borderId="1" xfId="0" applyFont="1" applyBorder="1" applyAlignment="1">
      <alignment wrapText="1"/>
    </xf>
    <xf numFmtId="166" fontId="5" fillId="0" borderId="1" xfId="0" applyNumberFormat="1" applyFont="1" applyBorder="1" applyAlignment="1">
      <alignment wrapText="1"/>
    </xf>
    <xf numFmtId="166" fontId="6" fillId="0" borderId="1" xfId="0" applyNumberFormat="1" applyFont="1" applyBorder="1" applyAlignment="1">
      <alignment wrapText="1"/>
    </xf>
    <xf numFmtId="166" fontId="5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6" fontId="5" fillId="2" borderId="1" xfId="1" applyNumberFormat="1" applyFont="1" applyFill="1" applyBorder="1" applyAlignment="1">
      <alignment vertical="top"/>
    </xf>
    <xf numFmtId="0" fontId="6" fillId="3" borderId="1" xfId="0" applyFont="1" applyFill="1" applyBorder="1"/>
    <xf numFmtId="164" fontId="6" fillId="3" borderId="1" xfId="0" applyNumberFormat="1" applyFont="1" applyFill="1" applyBorder="1"/>
    <xf numFmtId="166" fontId="6" fillId="3" borderId="1" xfId="0" applyNumberFormat="1" applyFont="1" applyFill="1" applyBorder="1" applyAlignment="1">
      <alignment vertical="top"/>
    </xf>
    <xf numFmtId="166" fontId="5" fillId="2" borderId="4" xfId="2" applyNumberFormat="1" applyFont="1" applyFill="1" applyBorder="1" applyAlignment="1">
      <alignment horizontal="center" vertical="center" wrapText="1"/>
    </xf>
    <xf numFmtId="166" fontId="5" fillId="2" borderId="3" xfId="2" applyNumberFormat="1" applyFont="1" applyFill="1" applyBorder="1" applyAlignment="1">
      <alignment horizontal="center" vertical="center" wrapText="1"/>
    </xf>
    <xf numFmtId="166" fontId="5" fillId="2" borderId="2" xfId="2" applyNumberFormat="1" applyFont="1" applyFill="1" applyBorder="1" applyAlignment="1">
      <alignment horizontal="center" vertical="center" wrapText="1"/>
    </xf>
    <xf numFmtId="166" fontId="5" fillId="2" borderId="10" xfId="2" applyNumberFormat="1" applyFont="1" applyFill="1" applyBorder="1" applyAlignment="1">
      <alignment horizontal="left" vertical="center" wrapText="1"/>
    </xf>
    <xf numFmtId="166" fontId="5" fillId="2" borderId="11" xfId="2" applyNumberFormat="1" applyFont="1" applyFill="1" applyBorder="1" applyAlignment="1">
      <alignment horizontal="left" vertical="center" wrapText="1"/>
    </xf>
    <xf numFmtId="0" fontId="6" fillId="3" borderId="31" xfId="0" applyFont="1" applyFill="1" applyBorder="1" applyAlignment="1">
      <alignment horizontal="left" vertical="top"/>
    </xf>
    <xf numFmtId="0" fontId="6" fillId="3" borderId="29" xfId="0" applyFont="1" applyFill="1" applyBorder="1" applyAlignment="1">
      <alignment horizontal="left" vertical="top"/>
    </xf>
    <xf numFmtId="0" fontId="6" fillId="3" borderId="15" xfId="0" applyFont="1" applyFill="1" applyBorder="1" applyAlignment="1">
      <alignment horizontal="left" vertical="top"/>
    </xf>
  </cellXfs>
  <cellStyles count="6">
    <cellStyle name="Comma" xfId="1" builtinId="3"/>
    <cellStyle name="Comma 2" xfId="3" xr:uid="{E4C141DC-D0E3-4E38-9297-296C92B39EA4}"/>
    <cellStyle name="Comma 4" xfId="5" xr:uid="{4F5E7654-95F1-49E0-BE31-9F18FCC96B0E}"/>
    <cellStyle name="Normal" xfId="0" builtinId="0"/>
    <cellStyle name="Normal 4" xfId="4" xr:uid="{11BF8462-1363-42AB-8775-D002803A7469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tlwaL\OneDrive%20-%20lephalale.gov.za\Documents\BUDGET%20AND%20%20TREASURY\BUDGET%20AND%20REPORTING\COUNCIL\2024%20-25\Q3\AC%20ADJ%20BUDGET\Annexture%202.%20Capex%20%20Adjustment%20%20Budget%20%20%202024-%2025%20%200219.xlsx" TargetMode="External"/><Relationship Id="rId1" Type="http://schemas.openxmlformats.org/officeDocument/2006/relationships/externalLinkPath" Target="file:///C:\Users\MatlwaL\OneDrive%20-%20lephalale.gov.za\Documents\BUDGET%20AND%20%20TREASURY\BUDGET%20AND%20REPORTING\COUNCIL\2024%20-25\Q3\AC%20ADJ%20BUDGET\Annexture%202.%20Capex%20%20Adjustment%20%20Budget%20%20%202024-%2025%20%2002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ephalalegovza-my.sharepoint.com/Users/NdlovuM/Documents/Downloads/Current_Budget_A_Schedule_2024_2025_1_15_1308202415133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ex report"/>
      <sheetName val="Capex report "/>
      <sheetName val="Budget Schedule"/>
      <sheetName val="Sheet1"/>
      <sheetName val="Capex report  (3)"/>
      <sheetName val="Capex report  (updated )"/>
      <sheetName val="narrations "/>
      <sheetName val="Capex report  (updated ) (3)"/>
      <sheetName val="Capex report  (updated ) (2)"/>
      <sheetName val="Capex report  (updated )1902"/>
      <sheetName val="Roll Over Projects "/>
      <sheetName val="water project workings "/>
      <sheetName val="water project workings  F"/>
      <sheetName val="Roll Over Projects"/>
      <sheetName val="GL Summary"/>
      <sheetName val="Funding Per Project"/>
      <sheetName val="Detailed GL"/>
    </sheetNames>
    <sheetDataSet>
      <sheetData sheetId="0"/>
      <sheetData sheetId="1"/>
      <sheetData sheetId="2">
        <row r="916">
          <cell r="AA916">
            <v>13987039</v>
          </cell>
        </row>
        <row r="1066">
          <cell r="AA1066">
            <v>32199563</v>
          </cell>
        </row>
        <row r="1068">
          <cell r="E1068" t="str">
            <v>Energy Efficiency 5A</v>
          </cell>
          <cell r="AA1068">
            <v>4000000</v>
          </cell>
        </row>
        <row r="1069">
          <cell r="AA1069">
            <v>2000000</v>
          </cell>
        </row>
        <row r="1075">
          <cell r="E1075" t="str">
            <v xml:space="preserve">Highmast installation in Various villages </v>
          </cell>
          <cell r="AA1075">
            <v>17550000</v>
          </cell>
        </row>
        <row r="1077">
          <cell r="AA1077">
            <v>24784906</v>
          </cell>
        </row>
        <row r="1194">
          <cell r="AA1194">
            <v>20660283</v>
          </cell>
        </row>
        <row r="1237">
          <cell r="AA1237">
            <v>700000</v>
          </cell>
        </row>
        <row r="1238">
          <cell r="E1238" t="str">
            <v>Replavement of Asbestos cement pipe (ac)  to HDPE/uPVC water pipes in Marapong (Zone 1) 2</v>
          </cell>
          <cell r="AA1238">
            <v>6947392</v>
          </cell>
        </row>
        <row r="1240">
          <cell r="AA1240">
            <v>1500000</v>
          </cell>
        </row>
        <row r="1241">
          <cell r="AA1241">
            <v>1500000</v>
          </cell>
        </row>
        <row r="1242">
          <cell r="AA1242">
            <v>300000</v>
          </cell>
        </row>
        <row r="1246">
          <cell r="AA1246">
            <v>350000</v>
          </cell>
        </row>
        <row r="1247">
          <cell r="AA1247">
            <v>350000</v>
          </cell>
        </row>
        <row r="1371">
          <cell r="AA1371">
            <v>200000</v>
          </cell>
        </row>
        <row r="1372">
          <cell r="AA1372">
            <v>1000000</v>
          </cell>
        </row>
        <row r="1374">
          <cell r="AA1374">
            <v>3256200</v>
          </cell>
        </row>
        <row r="1377">
          <cell r="AA1377">
            <v>400000</v>
          </cell>
        </row>
        <row r="1379">
          <cell r="AA1379">
            <v>1500000</v>
          </cell>
        </row>
        <row r="1381">
          <cell r="AA1381">
            <v>200000</v>
          </cell>
        </row>
        <row r="1382">
          <cell r="AA1382">
            <v>50000</v>
          </cell>
        </row>
        <row r="1383">
          <cell r="AA1383">
            <v>90000</v>
          </cell>
        </row>
        <row r="1384">
          <cell r="AA1384">
            <v>18000</v>
          </cell>
        </row>
        <row r="1385">
          <cell r="AA1385">
            <v>20000</v>
          </cell>
        </row>
        <row r="1386">
          <cell r="AA1386">
            <v>30000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C3"/>
        </row>
        <row r="35">
          <cell r="C35">
            <v>297123.7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</sheetNames>
    <sheetDataSet>
      <sheetData sheetId="0">
        <row r="690">
          <cell r="AA690">
            <v>1000000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C38BC-3EB6-404F-BD0A-3EEEF4ACF1E0}">
  <sheetPr>
    <tabColor rgb="FF92D050"/>
  </sheetPr>
  <dimension ref="A1:J284"/>
  <sheetViews>
    <sheetView topLeftCell="A25" workbookViewId="0">
      <selection activeCell="A12" sqref="A12"/>
    </sheetView>
  </sheetViews>
  <sheetFormatPr defaultRowHeight="14.4" x14ac:dyDescent="0.3"/>
  <cols>
    <col min="1" max="1" width="38.5546875" style="210" customWidth="1"/>
    <col min="2" max="2" width="14.6640625" style="210" customWidth="1"/>
    <col min="3" max="3" width="15.44140625" style="220" hidden="1" customWidth="1"/>
    <col min="4" max="4" width="16.88671875" style="220" hidden="1" customWidth="1"/>
    <col min="5" max="5" width="15.21875" style="220" customWidth="1"/>
    <col min="6" max="6" width="17.109375" style="220" customWidth="1"/>
    <col min="7" max="7" width="33.21875" style="5" customWidth="1"/>
    <col min="8" max="8" width="11.109375" bestFit="1" customWidth="1"/>
  </cols>
  <sheetData>
    <row r="1" spans="1:10" ht="39" customHeight="1" x14ac:dyDescent="0.3">
      <c r="A1" s="1"/>
    </row>
    <row r="2" spans="1:10" x14ac:dyDescent="0.3">
      <c r="A2" s="49"/>
      <c r="B2" s="64"/>
    </row>
    <row r="4" spans="1:10" ht="15" thickBot="1" x14ac:dyDescent="0.35">
      <c r="A4" s="1" t="s">
        <v>87</v>
      </c>
    </row>
    <row r="5" spans="1:10" ht="28.5" customHeight="1" thickBot="1" x14ac:dyDescent="0.35">
      <c r="A5" s="221" t="s">
        <v>1</v>
      </c>
      <c r="B5" s="222" t="s">
        <v>85</v>
      </c>
      <c r="C5" s="223" t="s">
        <v>88</v>
      </c>
      <c r="D5" s="223" t="s">
        <v>86</v>
      </c>
      <c r="E5" s="223" t="s">
        <v>89</v>
      </c>
      <c r="F5" s="223" t="s">
        <v>90</v>
      </c>
      <c r="G5" s="224" t="s">
        <v>7</v>
      </c>
    </row>
    <row r="6" spans="1:10" ht="19.5" customHeight="1" thickBot="1" x14ac:dyDescent="0.35">
      <c r="A6" s="225" t="s">
        <v>91</v>
      </c>
      <c r="B6" s="226">
        <v>500000</v>
      </c>
      <c r="C6" s="227">
        <v>52723</v>
      </c>
      <c r="D6" s="227">
        <f t="shared" ref="D6:D27" si="0">B6-C6</f>
        <v>447277</v>
      </c>
      <c r="E6" s="227"/>
      <c r="F6" s="227">
        <f>B6-E6</f>
        <v>500000</v>
      </c>
      <c r="G6" s="227" t="s">
        <v>92</v>
      </c>
      <c r="J6" s="228">
        <f>E6</f>
        <v>0</v>
      </c>
    </row>
    <row r="7" spans="1:10" s="220" customFormat="1" ht="34.950000000000003" customHeight="1" x14ac:dyDescent="0.3">
      <c r="A7" s="229" t="s">
        <v>93</v>
      </c>
      <c r="B7" s="230">
        <v>458743</v>
      </c>
      <c r="C7" s="231"/>
      <c r="D7" s="231">
        <f t="shared" si="0"/>
        <v>458743</v>
      </c>
      <c r="E7" s="231">
        <f>B7</f>
        <v>458743</v>
      </c>
      <c r="F7" s="231">
        <f t="shared" ref="F7:F24" si="1">B7-E7</f>
        <v>0</v>
      </c>
      <c r="G7" s="231"/>
    </row>
    <row r="8" spans="1:10" ht="24" customHeight="1" x14ac:dyDescent="0.3">
      <c r="A8" s="232" t="s">
        <v>94</v>
      </c>
      <c r="B8" s="233">
        <v>1200000</v>
      </c>
      <c r="C8" s="233">
        <v>98045</v>
      </c>
      <c r="D8" s="233">
        <f t="shared" si="0"/>
        <v>1101955</v>
      </c>
      <c r="E8" s="233">
        <f>B8</f>
        <v>1200000</v>
      </c>
      <c r="F8" s="233">
        <f t="shared" si="1"/>
        <v>0</v>
      </c>
      <c r="G8" s="233"/>
    </row>
    <row r="9" spans="1:10" x14ac:dyDescent="0.3">
      <c r="A9" s="234" t="s">
        <v>95</v>
      </c>
      <c r="B9" s="233">
        <v>600000</v>
      </c>
      <c r="C9" s="233">
        <v>77732</v>
      </c>
      <c r="D9" s="233">
        <f t="shared" si="0"/>
        <v>522268</v>
      </c>
      <c r="E9" s="233">
        <f>B9</f>
        <v>600000</v>
      </c>
      <c r="F9" s="233">
        <f t="shared" si="1"/>
        <v>0</v>
      </c>
      <c r="G9" s="233"/>
    </row>
    <row r="10" spans="1:10" ht="19.05" customHeight="1" x14ac:dyDescent="0.3">
      <c r="A10" s="232" t="s">
        <v>96</v>
      </c>
      <c r="B10" s="233">
        <v>142238.01999999999</v>
      </c>
      <c r="C10" s="233">
        <v>0</v>
      </c>
      <c r="D10" s="233">
        <f t="shared" si="0"/>
        <v>142238.01999999999</v>
      </c>
      <c r="E10" s="233">
        <f>B10</f>
        <v>142238.01999999999</v>
      </c>
      <c r="F10" s="233">
        <f t="shared" si="1"/>
        <v>0</v>
      </c>
      <c r="G10" s="233"/>
    </row>
    <row r="11" spans="1:10" s="58" customFormat="1" ht="19.5" customHeight="1" x14ac:dyDescent="0.3">
      <c r="A11" s="235" t="s">
        <v>97</v>
      </c>
      <c r="B11" s="233">
        <v>1000000</v>
      </c>
      <c r="C11" s="233">
        <v>0</v>
      </c>
      <c r="D11" s="233">
        <f t="shared" si="0"/>
        <v>1000000</v>
      </c>
      <c r="E11" s="233"/>
      <c r="F11" s="233">
        <f t="shared" si="1"/>
        <v>1000000</v>
      </c>
      <c r="G11" s="233" t="s">
        <v>115</v>
      </c>
    </row>
    <row r="12" spans="1:10" s="58" customFormat="1" ht="22.95" customHeight="1" x14ac:dyDescent="0.3">
      <c r="A12" s="235" t="s">
        <v>98</v>
      </c>
      <c r="B12" s="233">
        <v>2188611</v>
      </c>
      <c r="C12" s="233"/>
      <c r="D12" s="233">
        <f t="shared" si="0"/>
        <v>2188611</v>
      </c>
      <c r="E12" s="233">
        <f>B12</f>
        <v>2188611</v>
      </c>
      <c r="F12" s="233">
        <f t="shared" si="1"/>
        <v>0</v>
      </c>
      <c r="G12" s="236"/>
    </row>
    <row r="13" spans="1:10" s="58" customFormat="1" ht="17.55" customHeight="1" x14ac:dyDescent="0.3">
      <c r="A13" s="235" t="s">
        <v>99</v>
      </c>
      <c r="B13" s="233">
        <v>833398.99</v>
      </c>
      <c r="C13" s="233"/>
      <c r="D13" s="233">
        <f t="shared" si="0"/>
        <v>833398.99</v>
      </c>
      <c r="E13" s="233">
        <f>B13</f>
        <v>833398.99</v>
      </c>
      <c r="F13" s="233">
        <f t="shared" si="1"/>
        <v>0</v>
      </c>
      <c r="G13" s="233"/>
    </row>
    <row r="14" spans="1:10" s="58" customFormat="1" ht="16.95" customHeight="1" x14ac:dyDescent="0.3">
      <c r="A14" s="232" t="s">
        <v>100</v>
      </c>
      <c r="B14" s="233">
        <v>652906.16999999969</v>
      </c>
      <c r="C14" s="233"/>
      <c r="D14" s="233">
        <f t="shared" si="0"/>
        <v>652906.16999999969</v>
      </c>
      <c r="E14" s="233">
        <f>B14</f>
        <v>652906.16999999969</v>
      </c>
      <c r="F14" s="233">
        <f t="shared" si="1"/>
        <v>0</v>
      </c>
      <c r="G14" s="233"/>
    </row>
    <row r="15" spans="1:10" s="58" customFormat="1" ht="18.45" customHeight="1" x14ac:dyDescent="0.3">
      <c r="A15" s="114" t="s">
        <v>101</v>
      </c>
      <c r="B15" s="233">
        <v>300000</v>
      </c>
      <c r="C15" s="233"/>
      <c r="D15" s="233">
        <f t="shared" si="0"/>
        <v>300000</v>
      </c>
      <c r="E15" s="233">
        <f>B15</f>
        <v>300000</v>
      </c>
      <c r="F15" s="233">
        <f t="shared" si="1"/>
        <v>0</v>
      </c>
      <c r="G15" s="236"/>
    </row>
    <row r="16" spans="1:10" x14ac:dyDescent="0.3">
      <c r="A16" s="237" t="s">
        <v>102</v>
      </c>
      <c r="B16" s="233">
        <v>1720000</v>
      </c>
      <c r="C16" s="233">
        <v>1690000</v>
      </c>
      <c r="D16" s="233">
        <f t="shared" si="0"/>
        <v>30000</v>
      </c>
      <c r="E16" s="233">
        <v>1690000</v>
      </c>
      <c r="F16" s="233">
        <f t="shared" si="1"/>
        <v>30000</v>
      </c>
      <c r="G16" s="233"/>
    </row>
    <row r="17" spans="1:8" s="6" customFormat="1" ht="19.5" customHeight="1" x14ac:dyDescent="0.3">
      <c r="A17" s="238" t="s">
        <v>36</v>
      </c>
      <c r="B17" s="233">
        <v>2000000</v>
      </c>
      <c r="C17" s="233">
        <v>1550000</v>
      </c>
      <c r="D17" s="233">
        <f t="shared" si="0"/>
        <v>450000</v>
      </c>
      <c r="E17" s="233">
        <v>3000000</v>
      </c>
      <c r="F17" s="233">
        <f t="shared" si="1"/>
        <v>-1000000</v>
      </c>
      <c r="G17" s="233"/>
    </row>
    <row r="18" spans="1:8" s="58" customFormat="1" ht="30.45" customHeight="1" x14ac:dyDescent="0.3">
      <c r="A18" s="239" t="s">
        <v>103</v>
      </c>
      <c r="B18" s="240">
        <v>963412</v>
      </c>
      <c r="C18" s="241">
        <v>454000</v>
      </c>
      <c r="D18" s="241">
        <f t="shared" si="0"/>
        <v>509412</v>
      </c>
      <c r="E18" s="233">
        <f>B18</f>
        <v>963412</v>
      </c>
      <c r="F18" s="233">
        <f t="shared" si="1"/>
        <v>0</v>
      </c>
      <c r="G18" s="233"/>
    </row>
    <row r="19" spans="1:8" s="58" customFormat="1" ht="18.45" customHeight="1" x14ac:dyDescent="0.3">
      <c r="A19" s="239" t="s">
        <v>104</v>
      </c>
      <c r="B19" s="240">
        <v>213412</v>
      </c>
      <c r="C19" s="233">
        <v>211412</v>
      </c>
      <c r="D19" s="233">
        <f t="shared" si="0"/>
        <v>2000</v>
      </c>
      <c r="E19" s="233">
        <f>B19</f>
        <v>213412</v>
      </c>
      <c r="F19" s="233">
        <f t="shared" si="1"/>
        <v>0</v>
      </c>
      <c r="G19" s="233"/>
    </row>
    <row r="20" spans="1:8" ht="28.8" x14ac:dyDescent="0.3">
      <c r="A20" s="239" t="s">
        <v>105</v>
      </c>
      <c r="B20" s="240">
        <v>1000000</v>
      </c>
      <c r="C20" s="233">
        <v>791111</v>
      </c>
      <c r="D20" s="233">
        <f t="shared" si="0"/>
        <v>208889</v>
      </c>
      <c r="E20" s="233">
        <f>1000000+300000</f>
        <v>1300000</v>
      </c>
      <c r="F20" s="233">
        <f t="shared" si="1"/>
        <v>-300000</v>
      </c>
      <c r="G20" s="242" t="s">
        <v>106</v>
      </c>
      <c r="H20" s="228"/>
    </row>
    <row r="21" spans="1:8" ht="28.8" x14ac:dyDescent="0.3">
      <c r="A21" s="239" t="s">
        <v>107</v>
      </c>
      <c r="B21" s="240">
        <v>680000</v>
      </c>
      <c r="C21" s="233">
        <v>678500</v>
      </c>
      <c r="D21" s="233">
        <f t="shared" si="0"/>
        <v>1500</v>
      </c>
      <c r="E21" s="233">
        <f>B21</f>
        <v>680000</v>
      </c>
      <c r="F21" s="233">
        <f t="shared" si="1"/>
        <v>0</v>
      </c>
      <c r="G21" s="233"/>
    </row>
    <row r="22" spans="1:8" s="58" customFormat="1" ht="19.95" customHeight="1" x14ac:dyDescent="0.3">
      <c r="A22" s="239" t="s">
        <v>108</v>
      </c>
      <c r="B22" s="240">
        <v>1500000</v>
      </c>
      <c r="C22" s="233">
        <v>0</v>
      </c>
      <c r="D22" s="233">
        <f t="shared" si="0"/>
        <v>1500000</v>
      </c>
      <c r="E22" s="233">
        <v>0</v>
      </c>
      <c r="F22" s="233">
        <f t="shared" si="1"/>
        <v>1500000</v>
      </c>
      <c r="G22" s="233" t="s">
        <v>109</v>
      </c>
    </row>
    <row r="23" spans="1:8" ht="15" thickBot="1" x14ac:dyDescent="0.35">
      <c r="A23" s="243"/>
      <c r="B23" s="47"/>
      <c r="C23" s="244"/>
      <c r="D23" s="244">
        <f t="shared" si="0"/>
        <v>0</v>
      </c>
      <c r="E23" s="244"/>
      <c r="F23" s="244">
        <f t="shared" si="1"/>
        <v>0</v>
      </c>
      <c r="G23" s="244"/>
    </row>
    <row r="24" spans="1:8" ht="19.05" customHeight="1" thickBot="1" x14ac:dyDescent="0.35">
      <c r="A24" s="245" t="s">
        <v>15</v>
      </c>
      <c r="B24" s="246">
        <f>SUM(B6:B23)</f>
        <v>15952721.18</v>
      </c>
      <c r="C24" s="246">
        <f t="shared" ref="C24:E24" si="2">SUM(C6:C23)</f>
        <v>5603523</v>
      </c>
      <c r="D24" s="246">
        <f t="shared" si="2"/>
        <v>10349198.18</v>
      </c>
      <c r="E24" s="246">
        <f t="shared" si="2"/>
        <v>14222721.18</v>
      </c>
      <c r="F24" s="246">
        <f t="shared" si="1"/>
        <v>1730000</v>
      </c>
      <c r="G24" s="246"/>
    </row>
    <row r="25" spans="1:8" ht="15.6" thickTop="1" thickBot="1" x14ac:dyDescent="0.35">
      <c r="B25" s="2"/>
      <c r="D25" s="220">
        <f t="shared" si="0"/>
        <v>0</v>
      </c>
      <c r="F25" s="220">
        <f t="shared" ref="F25:F27" si="3">E25-B25</f>
        <v>0</v>
      </c>
    </row>
    <row r="26" spans="1:8" ht="15" thickBot="1" x14ac:dyDescent="0.35">
      <c r="A26" s="247" t="s">
        <v>110</v>
      </c>
      <c r="B26" s="248" t="s">
        <v>85</v>
      </c>
      <c r="C26" s="249" t="s">
        <v>88</v>
      </c>
      <c r="D26" s="250" t="s">
        <v>86</v>
      </c>
      <c r="E26" s="250" t="s">
        <v>89</v>
      </c>
      <c r="F26" s="250" t="s">
        <v>90</v>
      </c>
      <c r="G26" s="251"/>
    </row>
    <row r="27" spans="1:8" ht="15" thickBot="1" x14ac:dyDescent="0.35">
      <c r="A27" s="147" t="s">
        <v>111</v>
      </c>
      <c r="B27" s="252">
        <v>7600000</v>
      </c>
      <c r="C27" s="253">
        <v>297123.7</v>
      </c>
      <c r="D27" s="254">
        <f t="shared" si="0"/>
        <v>7302876.2999999998</v>
      </c>
      <c r="E27" s="254">
        <v>7600000</v>
      </c>
      <c r="F27" s="254">
        <f t="shared" si="3"/>
        <v>0</v>
      </c>
      <c r="G27" s="255"/>
    </row>
    <row r="28" spans="1:8" s="5" customFormat="1" x14ac:dyDescent="0.3">
      <c r="A28" s="220"/>
      <c r="B28" s="256"/>
      <c r="C28" s="220"/>
      <c r="D28" s="220"/>
      <c r="E28" s="220"/>
      <c r="F28" s="220"/>
    </row>
    <row r="29" spans="1:8" s="5" customFormat="1" x14ac:dyDescent="0.3">
      <c r="A29" s="220"/>
      <c r="B29" s="256"/>
      <c r="C29" s="220"/>
      <c r="D29" s="220"/>
      <c r="E29" s="220"/>
      <c r="F29" s="220"/>
    </row>
    <row r="30" spans="1:8" ht="15" thickBot="1" x14ac:dyDescent="0.35">
      <c r="A30" s="49" t="s">
        <v>61</v>
      </c>
      <c r="B30" s="2"/>
    </row>
    <row r="31" spans="1:8" ht="15" thickBot="1" x14ac:dyDescent="0.35">
      <c r="A31" s="257" t="s">
        <v>112</v>
      </c>
      <c r="B31" s="248" t="s">
        <v>85</v>
      </c>
      <c r="C31" s="249" t="s">
        <v>88</v>
      </c>
      <c r="D31" s="250" t="s">
        <v>86</v>
      </c>
      <c r="E31" s="250" t="s">
        <v>89</v>
      </c>
      <c r="F31" s="250" t="s">
        <v>90</v>
      </c>
      <c r="G31" s="251"/>
    </row>
    <row r="32" spans="1:8" ht="15" thickBot="1" x14ac:dyDescent="0.35">
      <c r="A32" s="147" t="s">
        <v>66</v>
      </c>
      <c r="B32" s="258">
        <f>B24</f>
        <v>15952721.18</v>
      </c>
      <c r="C32" s="258">
        <f t="shared" ref="C32:F32" si="4">C24</f>
        <v>5603523</v>
      </c>
      <c r="D32" s="258">
        <f t="shared" si="4"/>
        <v>10349198.18</v>
      </c>
      <c r="E32" s="258">
        <f t="shared" si="4"/>
        <v>14222721.18</v>
      </c>
      <c r="F32" s="258">
        <f t="shared" si="4"/>
        <v>1730000</v>
      </c>
      <c r="G32" s="259"/>
    </row>
    <row r="33" spans="1:7" ht="15" thickBot="1" x14ac:dyDescent="0.35">
      <c r="A33" s="147" t="s">
        <v>113</v>
      </c>
      <c r="B33" s="258">
        <f>B27</f>
        <v>7600000</v>
      </c>
      <c r="C33" s="258">
        <f t="shared" ref="C33:F33" si="5">C27</f>
        <v>297123.7</v>
      </c>
      <c r="D33" s="258">
        <f t="shared" si="5"/>
        <v>7302876.2999999998</v>
      </c>
      <c r="E33" s="258">
        <f t="shared" si="5"/>
        <v>7600000</v>
      </c>
      <c r="F33" s="258">
        <f t="shared" si="5"/>
        <v>0</v>
      </c>
      <c r="G33" s="259"/>
    </row>
    <row r="34" spans="1:7" ht="15" thickBot="1" x14ac:dyDescent="0.35">
      <c r="A34" s="260"/>
      <c r="B34" s="261"/>
      <c r="C34" s="262"/>
      <c r="D34" s="262"/>
      <c r="E34" s="262"/>
      <c r="F34" s="262"/>
      <c r="G34" s="263"/>
    </row>
    <row r="35" spans="1:7" ht="15" thickBot="1" x14ac:dyDescent="0.35">
      <c r="A35" s="147" t="s">
        <v>61</v>
      </c>
      <c r="B35" s="264">
        <f>B32+B33</f>
        <v>23552721.18</v>
      </c>
      <c r="C35" s="264">
        <f t="shared" ref="C35:F35" si="6">C32+C33</f>
        <v>5900646.7000000002</v>
      </c>
      <c r="D35" s="264">
        <f t="shared" si="6"/>
        <v>17652074.48</v>
      </c>
      <c r="E35" s="264">
        <f t="shared" si="6"/>
        <v>21822721.18</v>
      </c>
      <c r="F35" s="264">
        <f t="shared" si="6"/>
        <v>1730000</v>
      </c>
      <c r="G35" s="265"/>
    </row>
    <row r="36" spans="1:7" s="6" customFormat="1" x14ac:dyDescent="0.3">
      <c r="A36" s="220"/>
      <c r="B36" s="220"/>
      <c r="C36" s="220"/>
      <c r="D36" s="220"/>
      <c r="E36" s="220"/>
      <c r="F36" s="220"/>
    </row>
    <row r="37" spans="1:7" s="6" customFormat="1" hidden="1" x14ac:dyDescent="0.3">
      <c r="A37" s="220"/>
      <c r="B37" s="220"/>
      <c r="C37" s="220"/>
      <c r="D37" s="220"/>
      <c r="E37" s="220"/>
      <c r="F37" s="220"/>
    </row>
    <row r="38" spans="1:7" s="6" customFormat="1" hidden="1" x14ac:dyDescent="0.3">
      <c r="A38" s="49" t="s">
        <v>77</v>
      </c>
      <c r="B38" s="2"/>
      <c r="C38" s="2"/>
      <c r="D38" s="3"/>
      <c r="E38" s="4"/>
      <c r="F38" s="220"/>
    </row>
    <row r="39" spans="1:7" s="6" customFormat="1" hidden="1" x14ac:dyDescent="0.3">
      <c r="A39" s="53"/>
      <c r="B39" s="55"/>
      <c r="C39" s="55"/>
      <c r="D39" s="56"/>
      <c r="E39" s="266"/>
      <c r="F39" s="220"/>
    </row>
    <row r="40" spans="1:7" s="6" customFormat="1" hidden="1" x14ac:dyDescent="0.3">
      <c r="A40" s="53" t="s">
        <v>79</v>
      </c>
      <c r="B40" s="55">
        <v>1200000</v>
      </c>
      <c r="C40" s="55">
        <v>175777.16999999998</v>
      </c>
      <c r="D40" s="56">
        <f t="shared" ref="D40:D43" si="7">C40/B40</f>
        <v>0.14648097499999999</v>
      </c>
      <c r="E40" s="266">
        <f>B40</f>
        <v>1200000</v>
      </c>
      <c r="F40" s="220"/>
    </row>
    <row r="41" spans="1:7" s="6" customFormat="1" hidden="1" x14ac:dyDescent="0.3">
      <c r="A41" s="53"/>
      <c r="B41" s="55"/>
      <c r="C41" s="2"/>
      <c r="D41" s="56"/>
      <c r="E41" s="267"/>
      <c r="F41" s="220"/>
    </row>
    <row r="42" spans="1:7" s="6" customFormat="1" hidden="1" x14ac:dyDescent="0.3">
      <c r="A42" s="215" t="s">
        <v>15</v>
      </c>
      <c r="B42" s="216">
        <f>SUM(B39:B40)</f>
        <v>1200000</v>
      </c>
      <c r="C42" s="216">
        <f>SUM(C39:C40)</f>
        <v>175777.16999999998</v>
      </c>
      <c r="D42" s="217">
        <f t="shared" si="7"/>
        <v>0.14648097499999999</v>
      </c>
      <c r="E42" s="268"/>
      <c r="F42" s="220"/>
    </row>
    <row r="43" spans="1:7" s="6" customFormat="1" hidden="1" x14ac:dyDescent="0.3">
      <c r="A43" s="215" t="s">
        <v>81</v>
      </c>
      <c r="B43" s="216">
        <f>B35+B42</f>
        <v>24752721.18</v>
      </c>
      <c r="C43" s="216">
        <f>C35+C42</f>
        <v>6076423.8700000001</v>
      </c>
      <c r="D43" s="219">
        <f t="shared" si="7"/>
        <v>0.24548508528871169</v>
      </c>
      <c r="E43" s="267"/>
      <c r="F43" s="220"/>
    </row>
    <row r="44" spans="1:7" s="6" customFormat="1" hidden="1" x14ac:dyDescent="0.3">
      <c r="A44" s="220"/>
      <c r="B44" s="220"/>
      <c r="C44" s="220"/>
      <c r="D44" s="220"/>
      <c r="E44" s="220"/>
      <c r="F44" s="220"/>
    </row>
    <row r="45" spans="1:7" s="6" customFormat="1" hidden="1" x14ac:dyDescent="0.3">
      <c r="A45" s="220"/>
      <c r="B45" s="220"/>
      <c r="C45" s="220"/>
      <c r="D45" s="220"/>
      <c r="E45" s="220"/>
      <c r="F45" s="220"/>
    </row>
    <row r="46" spans="1:7" s="6" customFormat="1" hidden="1" x14ac:dyDescent="0.3">
      <c r="A46" s="220"/>
      <c r="B46" s="220"/>
      <c r="C46" s="220"/>
      <c r="D46" s="220"/>
      <c r="E46" s="220"/>
      <c r="F46" s="220"/>
    </row>
    <row r="47" spans="1:7" s="6" customFormat="1" x14ac:dyDescent="0.3">
      <c r="A47" s="220"/>
      <c r="B47" s="220"/>
      <c r="C47" s="220"/>
      <c r="D47" s="220"/>
      <c r="E47" s="220"/>
      <c r="F47" s="220"/>
    </row>
    <row r="48" spans="1:7" s="6" customFormat="1" x14ac:dyDescent="0.3">
      <c r="A48" s="220"/>
      <c r="B48" s="220"/>
      <c r="C48" s="220"/>
      <c r="D48" s="220"/>
      <c r="E48" s="220"/>
      <c r="F48" s="220"/>
    </row>
    <row r="49" spans="1:6" s="6" customFormat="1" x14ac:dyDescent="0.3">
      <c r="A49" s="220"/>
      <c r="B49" s="220"/>
      <c r="C49" s="220"/>
      <c r="D49" s="220"/>
      <c r="E49" s="220"/>
      <c r="F49" s="220"/>
    </row>
    <row r="50" spans="1:6" s="6" customFormat="1" x14ac:dyDescent="0.3">
      <c r="A50" s="220"/>
      <c r="B50" s="220"/>
      <c r="C50" s="220"/>
      <c r="D50" s="220"/>
      <c r="E50" s="220"/>
      <c r="F50" s="220"/>
    </row>
    <row r="51" spans="1:6" s="6" customFormat="1" x14ac:dyDescent="0.3">
      <c r="A51" s="220"/>
      <c r="B51" s="220"/>
      <c r="C51" s="220"/>
      <c r="D51" s="220"/>
      <c r="E51" s="220"/>
      <c r="F51" s="220"/>
    </row>
    <row r="52" spans="1:6" s="6" customFormat="1" x14ac:dyDescent="0.3">
      <c r="A52" s="220"/>
      <c r="B52" s="220"/>
      <c r="C52" s="220"/>
      <c r="D52" s="220"/>
      <c r="E52" s="220"/>
      <c r="F52" s="220"/>
    </row>
    <row r="53" spans="1:6" s="6" customFormat="1" x14ac:dyDescent="0.3">
      <c r="A53" s="220"/>
      <c r="B53" s="220"/>
      <c r="C53" s="220"/>
      <c r="D53" s="220"/>
      <c r="E53" s="220"/>
      <c r="F53" s="220"/>
    </row>
    <row r="54" spans="1:6" s="6" customFormat="1" x14ac:dyDescent="0.3">
      <c r="A54" s="220"/>
      <c r="B54" s="220"/>
      <c r="C54" s="220"/>
      <c r="D54" s="220"/>
      <c r="E54" s="220"/>
      <c r="F54" s="220"/>
    </row>
    <row r="55" spans="1:6" s="6" customFormat="1" x14ac:dyDescent="0.3">
      <c r="A55" s="220"/>
      <c r="B55" s="220"/>
      <c r="C55" s="220"/>
      <c r="D55" s="220"/>
      <c r="E55" s="220"/>
      <c r="F55" s="220"/>
    </row>
    <row r="56" spans="1:6" s="6" customFormat="1" x14ac:dyDescent="0.3">
      <c r="A56" s="220"/>
      <c r="B56" s="220"/>
      <c r="C56" s="220"/>
      <c r="D56" s="220"/>
      <c r="E56" s="220"/>
      <c r="F56" s="220"/>
    </row>
    <row r="57" spans="1:6" s="6" customFormat="1" x14ac:dyDescent="0.3">
      <c r="A57" s="220"/>
      <c r="B57" s="220"/>
      <c r="C57" s="220"/>
      <c r="D57" s="220"/>
      <c r="E57" s="220"/>
      <c r="F57" s="220"/>
    </row>
    <row r="58" spans="1:6" s="6" customFormat="1" x14ac:dyDescent="0.3">
      <c r="A58" s="220"/>
      <c r="B58" s="220"/>
      <c r="C58" s="220"/>
      <c r="D58" s="220"/>
      <c r="E58" s="220"/>
      <c r="F58" s="220"/>
    </row>
    <row r="59" spans="1:6" s="6" customFormat="1" x14ac:dyDescent="0.3">
      <c r="A59" s="220"/>
      <c r="B59" s="220"/>
      <c r="C59" s="220"/>
      <c r="D59" s="220"/>
      <c r="E59" s="220"/>
      <c r="F59" s="220"/>
    </row>
    <row r="60" spans="1:6" s="6" customFormat="1" x14ac:dyDescent="0.3">
      <c r="A60" s="220"/>
      <c r="B60" s="220"/>
      <c r="C60" s="220"/>
      <c r="D60" s="220"/>
      <c r="E60" s="220"/>
      <c r="F60" s="220"/>
    </row>
    <row r="61" spans="1:6" s="6" customFormat="1" x14ac:dyDescent="0.3">
      <c r="A61" s="220"/>
      <c r="B61" s="220"/>
      <c r="C61" s="220"/>
      <c r="D61" s="220"/>
      <c r="E61" s="220"/>
      <c r="F61" s="220"/>
    </row>
    <row r="62" spans="1:6" s="6" customFormat="1" x14ac:dyDescent="0.3">
      <c r="A62" s="220"/>
      <c r="B62" s="220"/>
      <c r="C62" s="220"/>
      <c r="D62" s="220"/>
      <c r="E62" s="220"/>
      <c r="F62" s="220"/>
    </row>
    <row r="63" spans="1:6" s="6" customFormat="1" x14ac:dyDescent="0.3">
      <c r="A63" s="220"/>
      <c r="B63" s="220"/>
      <c r="C63" s="220"/>
      <c r="D63" s="220"/>
      <c r="E63" s="220"/>
      <c r="F63" s="220"/>
    </row>
    <row r="64" spans="1:6" s="6" customFormat="1" x14ac:dyDescent="0.3">
      <c r="A64" s="220"/>
      <c r="B64" s="220"/>
      <c r="C64" s="220"/>
      <c r="D64" s="220"/>
      <c r="E64" s="220"/>
      <c r="F64" s="220"/>
    </row>
    <row r="65" spans="1:6" s="6" customFormat="1" x14ac:dyDescent="0.3">
      <c r="A65" s="220"/>
      <c r="B65" s="220"/>
      <c r="C65" s="220"/>
      <c r="D65" s="220"/>
      <c r="E65" s="220"/>
      <c r="F65" s="220"/>
    </row>
    <row r="66" spans="1:6" s="6" customFormat="1" x14ac:dyDescent="0.3">
      <c r="A66" s="220"/>
      <c r="B66" s="220"/>
      <c r="C66" s="220"/>
      <c r="D66" s="220"/>
      <c r="E66" s="220"/>
      <c r="F66" s="220"/>
    </row>
    <row r="67" spans="1:6" s="6" customFormat="1" x14ac:dyDescent="0.3">
      <c r="A67" s="220"/>
      <c r="B67" s="220"/>
      <c r="C67" s="220"/>
      <c r="D67" s="220"/>
      <c r="E67" s="220"/>
      <c r="F67" s="220"/>
    </row>
    <row r="68" spans="1:6" s="6" customFormat="1" x14ac:dyDescent="0.3">
      <c r="A68" s="220"/>
      <c r="B68" s="220"/>
      <c r="C68" s="220"/>
      <c r="D68" s="220"/>
      <c r="E68" s="220"/>
      <c r="F68" s="220"/>
    </row>
    <row r="69" spans="1:6" s="6" customFormat="1" x14ac:dyDescent="0.3">
      <c r="A69" s="220"/>
      <c r="B69" s="220"/>
      <c r="C69" s="220"/>
      <c r="D69" s="220"/>
      <c r="E69" s="220"/>
      <c r="F69" s="220"/>
    </row>
    <row r="70" spans="1:6" s="6" customFormat="1" x14ac:dyDescent="0.3">
      <c r="A70" s="220"/>
      <c r="B70" s="220"/>
      <c r="C70" s="220"/>
      <c r="D70" s="220"/>
      <c r="E70" s="220"/>
      <c r="F70" s="220"/>
    </row>
    <row r="71" spans="1:6" s="6" customFormat="1" x14ac:dyDescent="0.3">
      <c r="A71" s="220"/>
      <c r="B71" s="220"/>
      <c r="C71" s="220"/>
      <c r="D71" s="220"/>
      <c r="E71" s="220"/>
      <c r="F71" s="220"/>
    </row>
    <row r="72" spans="1:6" s="6" customFormat="1" x14ac:dyDescent="0.3">
      <c r="A72" s="220"/>
      <c r="B72" s="220"/>
      <c r="C72" s="220"/>
      <c r="D72" s="220"/>
      <c r="E72" s="220"/>
      <c r="F72" s="220"/>
    </row>
    <row r="73" spans="1:6" s="6" customFormat="1" x14ac:dyDescent="0.3">
      <c r="A73" s="220"/>
      <c r="B73" s="220"/>
      <c r="C73" s="220"/>
      <c r="D73" s="220"/>
      <c r="E73" s="220"/>
      <c r="F73" s="220"/>
    </row>
    <row r="74" spans="1:6" s="6" customFormat="1" x14ac:dyDescent="0.3">
      <c r="A74" s="220"/>
      <c r="B74" s="220"/>
      <c r="C74" s="220"/>
      <c r="D74" s="220"/>
      <c r="E74" s="220"/>
      <c r="F74" s="220"/>
    </row>
    <row r="75" spans="1:6" s="6" customFormat="1" x14ac:dyDescent="0.3">
      <c r="A75" s="220"/>
      <c r="B75" s="220"/>
      <c r="C75" s="220"/>
      <c r="D75" s="220"/>
      <c r="E75" s="220"/>
      <c r="F75" s="220"/>
    </row>
    <row r="76" spans="1:6" s="6" customFormat="1" x14ac:dyDescent="0.3">
      <c r="A76" s="220"/>
      <c r="B76" s="220"/>
      <c r="C76" s="220"/>
      <c r="D76" s="220"/>
      <c r="E76" s="220"/>
      <c r="F76" s="220"/>
    </row>
    <row r="77" spans="1:6" s="6" customFormat="1" x14ac:dyDescent="0.3">
      <c r="A77" s="220"/>
      <c r="B77" s="220"/>
      <c r="C77" s="220"/>
      <c r="D77" s="220"/>
      <c r="E77" s="220"/>
      <c r="F77" s="220"/>
    </row>
    <row r="78" spans="1:6" s="6" customFormat="1" x14ac:dyDescent="0.3">
      <c r="A78" s="220"/>
      <c r="B78" s="220"/>
      <c r="C78" s="220"/>
      <c r="D78" s="220"/>
      <c r="E78" s="220"/>
      <c r="F78" s="220"/>
    </row>
    <row r="79" spans="1:6" s="6" customFormat="1" x14ac:dyDescent="0.3">
      <c r="A79" s="220"/>
      <c r="B79" s="220"/>
      <c r="C79" s="220"/>
      <c r="D79" s="220"/>
      <c r="E79" s="220"/>
      <c r="F79" s="220"/>
    </row>
    <row r="80" spans="1:6" s="6" customFormat="1" x14ac:dyDescent="0.3">
      <c r="A80" s="220"/>
      <c r="B80" s="220"/>
      <c r="C80" s="220"/>
      <c r="D80" s="220"/>
      <c r="E80" s="220"/>
      <c r="F80" s="220"/>
    </row>
    <row r="81" spans="1:6" s="6" customFormat="1" x14ac:dyDescent="0.3">
      <c r="A81" s="220"/>
      <c r="B81" s="220"/>
      <c r="C81" s="220"/>
      <c r="D81" s="220"/>
      <c r="E81" s="220"/>
      <c r="F81" s="220"/>
    </row>
    <row r="82" spans="1:6" s="6" customFormat="1" x14ac:dyDescent="0.3">
      <c r="A82" s="220"/>
      <c r="B82" s="220"/>
      <c r="C82" s="220"/>
      <c r="D82" s="220"/>
      <c r="E82" s="220"/>
      <c r="F82" s="220"/>
    </row>
    <row r="83" spans="1:6" s="6" customFormat="1" x14ac:dyDescent="0.3">
      <c r="A83" s="220"/>
      <c r="B83" s="220"/>
      <c r="C83" s="220"/>
      <c r="D83" s="220"/>
      <c r="E83" s="220"/>
      <c r="F83" s="220"/>
    </row>
    <row r="84" spans="1:6" s="6" customFormat="1" x14ac:dyDescent="0.3">
      <c r="A84" s="220"/>
      <c r="B84" s="220"/>
      <c r="C84" s="220"/>
      <c r="D84" s="220"/>
      <c r="E84" s="220"/>
      <c r="F84" s="220"/>
    </row>
    <row r="85" spans="1:6" s="6" customFormat="1" x14ac:dyDescent="0.3">
      <c r="A85" s="220"/>
      <c r="B85" s="220"/>
      <c r="C85" s="220"/>
      <c r="D85" s="220"/>
      <c r="E85" s="220"/>
      <c r="F85" s="220"/>
    </row>
    <row r="86" spans="1:6" s="6" customFormat="1" x14ac:dyDescent="0.3">
      <c r="A86" s="220"/>
      <c r="B86" s="220"/>
      <c r="C86" s="220"/>
      <c r="D86" s="220"/>
      <c r="E86" s="220"/>
      <c r="F86" s="220"/>
    </row>
    <row r="87" spans="1:6" s="6" customFormat="1" x14ac:dyDescent="0.3">
      <c r="A87" s="220"/>
      <c r="B87" s="220"/>
      <c r="C87" s="220"/>
      <c r="D87" s="220"/>
      <c r="E87" s="220"/>
      <c r="F87" s="220"/>
    </row>
    <row r="88" spans="1:6" s="6" customFormat="1" x14ac:dyDescent="0.3">
      <c r="A88" s="220"/>
      <c r="B88" s="220"/>
      <c r="C88" s="220"/>
      <c r="D88" s="220"/>
      <c r="E88" s="220"/>
      <c r="F88" s="220"/>
    </row>
    <row r="89" spans="1:6" s="6" customFormat="1" x14ac:dyDescent="0.3">
      <c r="A89" s="220"/>
      <c r="B89" s="220"/>
      <c r="C89" s="220"/>
      <c r="D89" s="220"/>
      <c r="E89" s="220"/>
      <c r="F89" s="220"/>
    </row>
    <row r="90" spans="1:6" s="6" customFormat="1" x14ac:dyDescent="0.3">
      <c r="A90" s="220"/>
      <c r="B90" s="220"/>
      <c r="C90" s="220"/>
      <c r="D90" s="220"/>
      <c r="E90" s="220"/>
      <c r="F90" s="220"/>
    </row>
    <row r="91" spans="1:6" s="6" customFormat="1" x14ac:dyDescent="0.3">
      <c r="A91" s="220"/>
      <c r="B91" s="220"/>
      <c r="C91" s="220"/>
      <c r="D91" s="220"/>
      <c r="E91" s="220"/>
      <c r="F91" s="220"/>
    </row>
    <row r="92" spans="1:6" s="6" customFormat="1" x14ac:dyDescent="0.3">
      <c r="A92" s="220"/>
      <c r="B92" s="220"/>
      <c r="C92" s="220"/>
      <c r="D92" s="220"/>
      <c r="E92" s="220"/>
      <c r="F92" s="220"/>
    </row>
    <row r="93" spans="1:6" s="6" customFormat="1" x14ac:dyDescent="0.3">
      <c r="A93" s="220"/>
      <c r="B93" s="220"/>
      <c r="C93" s="220"/>
      <c r="D93" s="220"/>
      <c r="E93" s="220"/>
      <c r="F93" s="220"/>
    </row>
    <row r="94" spans="1:6" s="6" customFormat="1" x14ac:dyDescent="0.3">
      <c r="A94" s="220"/>
      <c r="B94" s="220"/>
      <c r="C94" s="220"/>
      <c r="D94" s="220"/>
      <c r="E94" s="220"/>
      <c r="F94" s="220"/>
    </row>
    <row r="95" spans="1:6" s="6" customFormat="1" x14ac:dyDescent="0.3">
      <c r="A95" s="220"/>
      <c r="B95" s="220"/>
      <c r="C95" s="220"/>
      <c r="D95" s="220"/>
      <c r="E95" s="220"/>
      <c r="F95" s="220"/>
    </row>
    <row r="96" spans="1:6" s="6" customFormat="1" x14ac:dyDescent="0.3">
      <c r="A96" s="220"/>
      <c r="B96" s="220"/>
      <c r="C96" s="220"/>
      <c r="D96" s="220"/>
      <c r="E96" s="220"/>
      <c r="F96" s="220"/>
    </row>
    <row r="97" spans="1:6" s="6" customFormat="1" x14ac:dyDescent="0.3">
      <c r="A97" s="220"/>
      <c r="B97" s="220"/>
      <c r="C97" s="220"/>
      <c r="D97" s="220"/>
      <c r="E97" s="220"/>
      <c r="F97" s="220"/>
    </row>
    <row r="98" spans="1:6" s="6" customFormat="1" x14ac:dyDescent="0.3">
      <c r="A98" s="220"/>
      <c r="B98" s="220"/>
      <c r="C98" s="220"/>
      <c r="D98" s="220"/>
      <c r="E98" s="220"/>
      <c r="F98" s="220"/>
    </row>
    <row r="99" spans="1:6" s="6" customFormat="1" x14ac:dyDescent="0.3">
      <c r="A99" s="220"/>
      <c r="B99" s="220"/>
      <c r="C99" s="220"/>
      <c r="D99" s="220"/>
      <c r="E99" s="220"/>
      <c r="F99" s="220"/>
    </row>
    <row r="100" spans="1:6" s="6" customFormat="1" x14ac:dyDescent="0.3">
      <c r="A100" s="220"/>
      <c r="B100" s="220"/>
      <c r="C100" s="220"/>
      <c r="D100" s="220"/>
      <c r="E100" s="220"/>
      <c r="F100" s="220"/>
    </row>
    <row r="101" spans="1:6" s="6" customFormat="1" x14ac:dyDescent="0.3">
      <c r="A101" s="220"/>
      <c r="B101" s="220"/>
      <c r="C101" s="220"/>
      <c r="D101" s="220"/>
      <c r="E101" s="220"/>
      <c r="F101" s="220"/>
    </row>
    <row r="102" spans="1:6" s="6" customFormat="1" x14ac:dyDescent="0.3">
      <c r="A102" s="220"/>
      <c r="B102" s="220"/>
      <c r="C102" s="220"/>
      <c r="D102" s="220"/>
      <c r="E102" s="220"/>
      <c r="F102" s="220"/>
    </row>
    <row r="103" spans="1:6" s="6" customFormat="1" x14ac:dyDescent="0.3">
      <c r="A103" s="220"/>
      <c r="B103" s="220"/>
      <c r="C103" s="220"/>
      <c r="D103" s="220"/>
      <c r="E103" s="220"/>
      <c r="F103" s="220"/>
    </row>
    <row r="104" spans="1:6" s="6" customFormat="1" x14ac:dyDescent="0.3">
      <c r="A104" s="220"/>
      <c r="B104" s="220"/>
      <c r="C104" s="220"/>
      <c r="D104" s="220"/>
      <c r="E104" s="220"/>
      <c r="F104" s="220"/>
    </row>
    <row r="105" spans="1:6" s="6" customFormat="1" x14ac:dyDescent="0.3">
      <c r="A105" s="220"/>
      <c r="B105" s="220"/>
      <c r="C105" s="220"/>
      <c r="D105" s="220"/>
      <c r="E105" s="220"/>
      <c r="F105" s="220"/>
    </row>
    <row r="106" spans="1:6" s="6" customFormat="1" x14ac:dyDescent="0.3">
      <c r="A106" s="220"/>
      <c r="B106" s="220"/>
      <c r="C106" s="220"/>
      <c r="D106" s="220"/>
      <c r="E106" s="220"/>
      <c r="F106" s="220"/>
    </row>
    <row r="107" spans="1:6" s="6" customFormat="1" x14ac:dyDescent="0.3">
      <c r="A107" s="220"/>
      <c r="B107" s="220"/>
      <c r="C107" s="220"/>
      <c r="D107" s="220"/>
      <c r="E107" s="220"/>
      <c r="F107" s="220"/>
    </row>
    <row r="108" spans="1:6" s="6" customFormat="1" x14ac:dyDescent="0.3">
      <c r="A108" s="220"/>
      <c r="B108" s="220"/>
      <c r="C108" s="220"/>
      <c r="D108" s="220"/>
      <c r="E108" s="220"/>
      <c r="F108" s="220"/>
    </row>
    <row r="109" spans="1:6" s="6" customFormat="1" x14ac:dyDescent="0.3">
      <c r="A109" s="220"/>
      <c r="B109" s="220"/>
      <c r="C109" s="220"/>
      <c r="D109" s="220"/>
      <c r="E109" s="220"/>
      <c r="F109" s="220"/>
    </row>
    <row r="110" spans="1:6" s="6" customFormat="1" x14ac:dyDescent="0.3">
      <c r="A110" s="220"/>
      <c r="B110" s="220"/>
      <c r="C110" s="220"/>
      <c r="D110" s="220"/>
      <c r="E110" s="220"/>
      <c r="F110" s="220"/>
    </row>
    <row r="111" spans="1:6" s="6" customFormat="1" x14ac:dyDescent="0.3">
      <c r="A111" s="220"/>
      <c r="B111" s="220"/>
      <c r="C111" s="220"/>
      <c r="D111" s="220"/>
      <c r="E111" s="220"/>
      <c r="F111" s="220"/>
    </row>
    <row r="112" spans="1:6" s="6" customFormat="1" x14ac:dyDescent="0.3">
      <c r="A112" s="220"/>
      <c r="B112" s="220"/>
      <c r="C112" s="220"/>
      <c r="D112" s="220"/>
      <c r="E112" s="220"/>
      <c r="F112" s="220"/>
    </row>
    <row r="113" spans="1:6" s="6" customFormat="1" x14ac:dyDescent="0.3">
      <c r="A113" s="220"/>
      <c r="B113" s="220"/>
      <c r="C113" s="220"/>
      <c r="D113" s="220"/>
      <c r="E113" s="220"/>
      <c r="F113" s="220"/>
    </row>
    <row r="114" spans="1:6" s="6" customFormat="1" x14ac:dyDescent="0.3">
      <c r="A114" s="220"/>
      <c r="B114" s="220"/>
      <c r="C114" s="220"/>
      <c r="D114" s="220"/>
      <c r="E114" s="220"/>
      <c r="F114" s="220"/>
    </row>
    <row r="115" spans="1:6" s="6" customFormat="1" x14ac:dyDescent="0.3">
      <c r="A115" s="220"/>
      <c r="B115" s="220"/>
      <c r="C115" s="220"/>
      <c r="D115" s="220"/>
      <c r="E115" s="220"/>
      <c r="F115" s="220"/>
    </row>
    <row r="116" spans="1:6" s="6" customFormat="1" x14ac:dyDescent="0.3">
      <c r="A116" s="220"/>
      <c r="B116" s="220"/>
      <c r="C116" s="220"/>
      <c r="D116" s="220"/>
      <c r="E116" s="220"/>
      <c r="F116" s="220"/>
    </row>
    <row r="117" spans="1:6" s="6" customFormat="1" x14ac:dyDescent="0.3">
      <c r="A117" s="220"/>
      <c r="B117" s="220"/>
      <c r="C117" s="220"/>
      <c r="D117" s="220"/>
      <c r="E117" s="220"/>
      <c r="F117" s="220"/>
    </row>
    <row r="118" spans="1:6" s="6" customFormat="1" x14ac:dyDescent="0.3">
      <c r="A118" s="220"/>
      <c r="B118" s="220"/>
      <c r="C118" s="220"/>
      <c r="D118" s="220"/>
      <c r="E118" s="220"/>
      <c r="F118" s="220"/>
    </row>
    <row r="119" spans="1:6" s="6" customFormat="1" x14ac:dyDescent="0.3">
      <c r="A119" s="220"/>
      <c r="B119" s="220"/>
      <c r="C119" s="220"/>
      <c r="D119" s="220"/>
      <c r="E119" s="220"/>
      <c r="F119" s="220"/>
    </row>
    <row r="120" spans="1:6" s="6" customFormat="1" x14ac:dyDescent="0.3">
      <c r="A120" s="220"/>
      <c r="B120" s="220"/>
      <c r="C120" s="220"/>
      <c r="D120" s="220"/>
      <c r="E120" s="220"/>
      <c r="F120" s="220"/>
    </row>
    <row r="121" spans="1:6" s="6" customFormat="1" x14ac:dyDescent="0.3">
      <c r="A121" s="220"/>
      <c r="B121" s="220"/>
      <c r="C121" s="220"/>
      <c r="D121" s="220"/>
      <c r="E121" s="220"/>
      <c r="F121" s="220"/>
    </row>
    <row r="122" spans="1:6" s="6" customFormat="1" x14ac:dyDescent="0.3">
      <c r="A122" s="220"/>
      <c r="B122" s="220"/>
      <c r="C122" s="220"/>
      <c r="D122" s="220"/>
      <c r="E122" s="220"/>
      <c r="F122" s="220"/>
    </row>
    <row r="123" spans="1:6" s="6" customFormat="1" x14ac:dyDescent="0.3">
      <c r="A123" s="220"/>
      <c r="B123" s="220"/>
      <c r="C123" s="220"/>
      <c r="D123" s="220"/>
      <c r="E123" s="220"/>
      <c r="F123" s="220"/>
    </row>
    <row r="124" spans="1:6" s="6" customFormat="1" x14ac:dyDescent="0.3">
      <c r="A124" s="220"/>
      <c r="B124" s="220"/>
      <c r="C124" s="220"/>
      <c r="D124" s="220"/>
      <c r="E124" s="220"/>
      <c r="F124" s="220"/>
    </row>
    <row r="125" spans="1:6" s="6" customFormat="1" x14ac:dyDescent="0.3">
      <c r="A125" s="220"/>
      <c r="B125" s="220"/>
      <c r="C125" s="220"/>
      <c r="D125" s="220"/>
      <c r="E125" s="220"/>
      <c r="F125" s="220"/>
    </row>
    <row r="126" spans="1:6" s="6" customFormat="1" x14ac:dyDescent="0.3">
      <c r="A126" s="220"/>
      <c r="B126" s="220"/>
      <c r="C126" s="220"/>
      <c r="D126" s="220"/>
      <c r="E126" s="220"/>
      <c r="F126" s="220"/>
    </row>
    <row r="127" spans="1:6" s="6" customFormat="1" x14ac:dyDescent="0.3">
      <c r="A127" s="220"/>
      <c r="B127" s="220"/>
      <c r="C127" s="220"/>
      <c r="D127" s="220"/>
      <c r="E127" s="220"/>
      <c r="F127" s="220"/>
    </row>
    <row r="128" spans="1:6" s="6" customFormat="1" x14ac:dyDescent="0.3">
      <c r="A128" s="220"/>
      <c r="B128" s="220"/>
      <c r="C128" s="220"/>
      <c r="D128" s="220"/>
      <c r="E128" s="220"/>
      <c r="F128" s="220"/>
    </row>
    <row r="129" spans="1:6" s="6" customFormat="1" x14ac:dyDescent="0.3">
      <c r="A129" s="220"/>
      <c r="B129" s="220"/>
      <c r="C129" s="220"/>
      <c r="D129" s="220"/>
      <c r="E129" s="220"/>
      <c r="F129" s="220"/>
    </row>
    <row r="130" spans="1:6" s="6" customFormat="1" x14ac:dyDescent="0.3">
      <c r="A130" s="220"/>
      <c r="B130" s="220"/>
      <c r="C130" s="220"/>
      <c r="D130" s="220"/>
      <c r="E130" s="220"/>
      <c r="F130" s="220"/>
    </row>
    <row r="131" spans="1:6" s="6" customFormat="1" x14ac:dyDescent="0.3">
      <c r="A131" s="220"/>
      <c r="B131" s="220"/>
      <c r="C131" s="220"/>
      <c r="D131" s="220"/>
      <c r="E131" s="220"/>
      <c r="F131" s="220"/>
    </row>
    <row r="132" spans="1:6" s="6" customFormat="1" x14ac:dyDescent="0.3">
      <c r="A132" s="220"/>
      <c r="B132" s="220"/>
      <c r="C132" s="220"/>
      <c r="D132" s="220"/>
      <c r="E132" s="220"/>
      <c r="F132" s="220"/>
    </row>
    <row r="133" spans="1:6" s="6" customFormat="1" x14ac:dyDescent="0.3">
      <c r="A133" s="220"/>
      <c r="B133" s="220"/>
      <c r="C133" s="220"/>
      <c r="D133" s="220"/>
      <c r="E133" s="220"/>
      <c r="F133" s="220"/>
    </row>
    <row r="134" spans="1:6" s="6" customFormat="1" x14ac:dyDescent="0.3">
      <c r="A134" s="220"/>
      <c r="B134" s="220"/>
      <c r="C134" s="220"/>
      <c r="D134" s="220"/>
      <c r="E134" s="220"/>
      <c r="F134" s="220"/>
    </row>
    <row r="135" spans="1:6" s="6" customFormat="1" x14ac:dyDescent="0.3">
      <c r="A135" s="220"/>
      <c r="B135" s="220"/>
      <c r="C135" s="220"/>
      <c r="D135" s="220"/>
      <c r="E135" s="220"/>
      <c r="F135" s="220"/>
    </row>
    <row r="136" spans="1:6" s="6" customFormat="1" x14ac:dyDescent="0.3">
      <c r="A136" s="220"/>
      <c r="B136" s="220"/>
      <c r="C136" s="220"/>
      <c r="D136" s="220"/>
      <c r="E136" s="220"/>
      <c r="F136" s="220"/>
    </row>
    <row r="137" spans="1:6" s="6" customFormat="1" x14ac:dyDescent="0.3">
      <c r="A137" s="220"/>
      <c r="B137" s="220"/>
      <c r="C137" s="220"/>
      <c r="D137" s="220"/>
      <c r="E137" s="220"/>
      <c r="F137" s="220"/>
    </row>
    <row r="138" spans="1:6" s="6" customFormat="1" x14ac:dyDescent="0.3">
      <c r="A138" s="220"/>
      <c r="B138" s="220"/>
      <c r="C138" s="220"/>
      <c r="D138" s="220"/>
      <c r="E138" s="220"/>
      <c r="F138" s="220"/>
    </row>
    <row r="139" spans="1:6" s="6" customFormat="1" x14ac:dyDescent="0.3">
      <c r="A139" s="220"/>
      <c r="B139" s="220"/>
      <c r="C139" s="220"/>
      <c r="D139" s="220"/>
      <c r="E139" s="220"/>
      <c r="F139" s="220"/>
    </row>
    <row r="140" spans="1:6" s="6" customFormat="1" x14ac:dyDescent="0.3">
      <c r="A140" s="220"/>
      <c r="B140" s="220"/>
      <c r="C140" s="220"/>
      <c r="D140" s="220"/>
      <c r="E140" s="220"/>
      <c r="F140" s="220"/>
    </row>
    <row r="141" spans="1:6" s="6" customFormat="1" x14ac:dyDescent="0.3">
      <c r="A141" s="220"/>
      <c r="B141" s="220"/>
      <c r="C141" s="220"/>
      <c r="D141" s="220"/>
      <c r="E141" s="220"/>
      <c r="F141" s="220"/>
    </row>
    <row r="142" spans="1:6" s="6" customFormat="1" x14ac:dyDescent="0.3">
      <c r="A142" s="220"/>
      <c r="B142" s="220"/>
      <c r="C142" s="220"/>
      <c r="D142" s="220"/>
      <c r="E142" s="220"/>
      <c r="F142" s="220"/>
    </row>
    <row r="143" spans="1:6" s="6" customFormat="1" x14ac:dyDescent="0.3">
      <c r="A143" s="220"/>
      <c r="B143" s="220"/>
      <c r="C143" s="220"/>
      <c r="D143" s="220"/>
      <c r="E143" s="220"/>
      <c r="F143" s="220"/>
    </row>
    <row r="144" spans="1:6" s="6" customFormat="1" x14ac:dyDescent="0.3">
      <c r="A144" s="220"/>
      <c r="B144" s="220"/>
      <c r="C144" s="220"/>
      <c r="D144" s="220"/>
      <c r="E144" s="220"/>
      <c r="F144" s="220"/>
    </row>
    <row r="145" spans="1:6" s="6" customFormat="1" x14ac:dyDescent="0.3">
      <c r="A145" s="220"/>
      <c r="B145" s="220"/>
      <c r="C145" s="220"/>
      <c r="D145" s="220"/>
      <c r="E145" s="220"/>
      <c r="F145" s="220"/>
    </row>
    <row r="146" spans="1:6" s="6" customFormat="1" x14ac:dyDescent="0.3">
      <c r="A146" s="220"/>
      <c r="B146" s="220"/>
      <c r="C146" s="220"/>
      <c r="D146" s="220"/>
      <c r="E146" s="220"/>
      <c r="F146" s="220"/>
    </row>
    <row r="147" spans="1:6" s="6" customFormat="1" x14ac:dyDescent="0.3">
      <c r="A147" s="220"/>
      <c r="B147" s="220"/>
      <c r="C147" s="220"/>
      <c r="D147" s="220"/>
      <c r="E147" s="220"/>
      <c r="F147" s="220"/>
    </row>
    <row r="148" spans="1:6" s="6" customFormat="1" x14ac:dyDescent="0.3">
      <c r="A148" s="220"/>
      <c r="B148" s="220"/>
      <c r="C148" s="220"/>
      <c r="D148" s="220"/>
      <c r="E148" s="220"/>
      <c r="F148" s="220"/>
    </row>
    <row r="149" spans="1:6" s="6" customFormat="1" x14ac:dyDescent="0.3">
      <c r="A149" s="220"/>
      <c r="B149" s="220"/>
      <c r="C149" s="220"/>
      <c r="D149" s="220"/>
      <c r="E149" s="220"/>
      <c r="F149" s="220"/>
    </row>
    <row r="150" spans="1:6" s="6" customFormat="1" x14ac:dyDescent="0.3">
      <c r="A150" s="220"/>
      <c r="B150" s="220"/>
      <c r="C150" s="220"/>
      <c r="D150" s="220"/>
      <c r="E150" s="220"/>
      <c r="F150" s="220"/>
    </row>
    <row r="151" spans="1:6" s="6" customFormat="1" x14ac:dyDescent="0.3">
      <c r="A151" s="220"/>
      <c r="B151" s="220"/>
      <c r="C151" s="220"/>
      <c r="D151" s="220"/>
      <c r="E151" s="220"/>
      <c r="F151" s="220"/>
    </row>
    <row r="152" spans="1:6" s="6" customFormat="1" x14ac:dyDescent="0.3">
      <c r="A152" s="220"/>
      <c r="B152" s="220"/>
      <c r="C152" s="220"/>
      <c r="D152" s="220"/>
      <c r="E152" s="220"/>
      <c r="F152" s="220"/>
    </row>
    <row r="153" spans="1:6" s="6" customFormat="1" x14ac:dyDescent="0.3">
      <c r="A153" s="220"/>
      <c r="B153" s="220"/>
      <c r="C153" s="220"/>
      <c r="D153" s="220"/>
      <c r="E153" s="220"/>
      <c r="F153" s="220"/>
    </row>
    <row r="154" spans="1:6" s="6" customFormat="1" x14ac:dyDescent="0.3">
      <c r="A154" s="220"/>
      <c r="B154" s="220"/>
      <c r="C154" s="220"/>
      <c r="D154" s="220"/>
      <c r="E154" s="220"/>
      <c r="F154" s="220"/>
    </row>
    <row r="155" spans="1:6" s="6" customFormat="1" x14ac:dyDescent="0.3">
      <c r="A155" s="220"/>
      <c r="B155" s="220"/>
      <c r="C155" s="220"/>
      <c r="D155" s="220"/>
      <c r="E155" s="220"/>
      <c r="F155" s="220"/>
    </row>
    <row r="156" spans="1:6" s="6" customFormat="1" x14ac:dyDescent="0.3">
      <c r="A156" s="220"/>
      <c r="B156" s="220"/>
      <c r="C156" s="220"/>
      <c r="D156" s="220"/>
      <c r="E156" s="220"/>
      <c r="F156" s="220"/>
    </row>
    <row r="157" spans="1:6" s="6" customFormat="1" x14ac:dyDescent="0.3">
      <c r="A157" s="220"/>
      <c r="B157" s="220"/>
      <c r="C157" s="220"/>
      <c r="D157" s="220"/>
      <c r="E157" s="220"/>
      <c r="F157" s="220"/>
    </row>
    <row r="158" spans="1:6" s="6" customFormat="1" x14ac:dyDescent="0.3">
      <c r="A158" s="220"/>
      <c r="B158" s="220"/>
      <c r="C158" s="220"/>
      <c r="D158" s="220"/>
      <c r="E158" s="220"/>
      <c r="F158" s="220"/>
    </row>
    <row r="159" spans="1:6" s="6" customFormat="1" x14ac:dyDescent="0.3">
      <c r="A159" s="220"/>
      <c r="B159" s="220"/>
      <c r="C159" s="220"/>
      <c r="D159" s="220"/>
      <c r="E159" s="220"/>
      <c r="F159" s="220"/>
    </row>
    <row r="160" spans="1:6" s="6" customFormat="1" x14ac:dyDescent="0.3">
      <c r="A160" s="220"/>
      <c r="B160" s="220"/>
      <c r="C160" s="220"/>
      <c r="D160" s="220"/>
      <c r="E160" s="220"/>
      <c r="F160" s="220"/>
    </row>
    <row r="161" spans="1:6" s="6" customFormat="1" x14ac:dyDescent="0.3">
      <c r="A161" s="220"/>
      <c r="B161" s="220"/>
      <c r="C161" s="220"/>
      <c r="D161" s="220"/>
      <c r="E161" s="220"/>
      <c r="F161" s="220"/>
    </row>
    <row r="162" spans="1:6" s="6" customFormat="1" x14ac:dyDescent="0.3">
      <c r="A162" s="220"/>
      <c r="B162" s="220"/>
      <c r="C162" s="220"/>
      <c r="D162" s="220"/>
      <c r="E162" s="220"/>
      <c r="F162" s="220"/>
    </row>
    <row r="163" spans="1:6" s="6" customFormat="1" x14ac:dyDescent="0.3">
      <c r="A163" s="220"/>
      <c r="B163" s="220"/>
      <c r="C163" s="220"/>
      <c r="D163" s="220"/>
      <c r="E163" s="220"/>
      <c r="F163" s="220"/>
    </row>
    <row r="164" spans="1:6" s="6" customFormat="1" x14ac:dyDescent="0.3">
      <c r="A164" s="220"/>
      <c r="B164" s="220"/>
      <c r="C164" s="220"/>
      <c r="D164" s="220"/>
      <c r="E164" s="220"/>
      <c r="F164" s="220"/>
    </row>
    <row r="165" spans="1:6" s="6" customFormat="1" x14ac:dyDescent="0.3">
      <c r="A165" s="220"/>
      <c r="B165" s="220"/>
      <c r="C165" s="220"/>
      <c r="D165" s="220"/>
      <c r="E165" s="220"/>
      <c r="F165" s="220"/>
    </row>
    <row r="166" spans="1:6" s="6" customFormat="1" x14ac:dyDescent="0.3">
      <c r="A166" s="220"/>
      <c r="B166" s="220"/>
      <c r="C166" s="220"/>
      <c r="D166" s="220"/>
      <c r="E166" s="220"/>
      <c r="F166" s="220"/>
    </row>
    <row r="167" spans="1:6" s="6" customFormat="1" x14ac:dyDescent="0.3">
      <c r="A167" s="220"/>
      <c r="B167" s="220"/>
      <c r="C167" s="220"/>
      <c r="D167" s="220"/>
      <c r="E167" s="220"/>
      <c r="F167" s="220"/>
    </row>
    <row r="168" spans="1:6" s="6" customFormat="1" x14ac:dyDescent="0.3">
      <c r="A168" s="220"/>
      <c r="B168" s="220"/>
      <c r="C168" s="220"/>
      <c r="D168" s="220"/>
      <c r="E168" s="220"/>
      <c r="F168" s="220"/>
    </row>
    <row r="169" spans="1:6" s="6" customFormat="1" x14ac:dyDescent="0.3">
      <c r="A169" s="220"/>
      <c r="B169" s="220"/>
      <c r="C169" s="220"/>
      <c r="D169" s="220"/>
      <c r="E169" s="220"/>
      <c r="F169" s="220"/>
    </row>
    <row r="170" spans="1:6" s="6" customFormat="1" x14ac:dyDescent="0.3">
      <c r="A170" s="220"/>
      <c r="B170" s="220"/>
      <c r="C170" s="220"/>
      <c r="D170" s="220"/>
      <c r="E170" s="220"/>
      <c r="F170" s="220"/>
    </row>
    <row r="171" spans="1:6" s="6" customFormat="1" x14ac:dyDescent="0.3">
      <c r="A171" s="220"/>
      <c r="B171" s="220"/>
      <c r="C171" s="220"/>
      <c r="D171" s="220"/>
      <c r="E171" s="220"/>
      <c r="F171" s="220"/>
    </row>
    <row r="172" spans="1:6" s="6" customFormat="1" x14ac:dyDescent="0.3">
      <c r="A172" s="220"/>
      <c r="B172" s="220"/>
      <c r="C172" s="220"/>
      <c r="D172" s="220"/>
      <c r="E172" s="220"/>
      <c r="F172" s="220"/>
    </row>
    <row r="173" spans="1:6" s="6" customFormat="1" x14ac:dyDescent="0.3">
      <c r="A173" s="220"/>
      <c r="B173" s="220"/>
      <c r="C173" s="220"/>
      <c r="D173" s="220"/>
      <c r="E173" s="220"/>
      <c r="F173" s="220"/>
    </row>
    <row r="174" spans="1:6" s="6" customFormat="1" x14ac:dyDescent="0.3">
      <c r="A174" s="220"/>
      <c r="B174" s="220"/>
      <c r="C174" s="220"/>
      <c r="D174" s="220"/>
      <c r="E174" s="220"/>
      <c r="F174" s="220"/>
    </row>
    <row r="175" spans="1:6" s="6" customFormat="1" x14ac:dyDescent="0.3">
      <c r="A175" s="220"/>
      <c r="B175" s="220"/>
      <c r="C175" s="220"/>
      <c r="D175" s="220"/>
      <c r="E175" s="220"/>
      <c r="F175" s="220"/>
    </row>
    <row r="176" spans="1:6" s="6" customFormat="1" x14ac:dyDescent="0.3">
      <c r="A176" s="220"/>
      <c r="B176" s="220"/>
      <c r="C176" s="220"/>
      <c r="D176" s="220"/>
      <c r="E176" s="220"/>
      <c r="F176" s="220"/>
    </row>
    <row r="177" spans="1:6" s="6" customFormat="1" x14ac:dyDescent="0.3">
      <c r="A177" s="220"/>
      <c r="B177" s="220"/>
      <c r="C177" s="220"/>
      <c r="D177" s="220"/>
      <c r="E177" s="220"/>
      <c r="F177" s="220"/>
    </row>
    <row r="178" spans="1:6" s="6" customFormat="1" x14ac:dyDescent="0.3">
      <c r="A178" s="220"/>
      <c r="B178" s="220"/>
      <c r="C178" s="220"/>
      <c r="D178" s="220"/>
      <c r="E178" s="220"/>
      <c r="F178" s="220"/>
    </row>
    <row r="179" spans="1:6" s="6" customFormat="1" x14ac:dyDescent="0.3">
      <c r="A179" s="220"/>
      <c r="B179" s="220"/>
      <c r="C179" s="220"/>
      <c r="D179" s="220"/>
      <c r="E179" s="220"/>
      <c r="F179" s="220"/>
    </row>
    <row r="180" spans="1:6" s="6" customFormat="1" x14ac:dyDescent="0.3">
      <c r="A180" s="220"/>
      <c r="B180" s="220"/>
      <c r="C180" s="220"/>
      <c r="D180" s="220"/>
      <c r="E180" s="220"/>
      <c r="F180" s="220"/>
    </row>
    <row r="181" spans="1:6" s="6" customFormat="1" x14ac:dyDescent="0.3">
      <c r="A181" s="220"/>
      <c r="B181" s="220"/>
      <c r="C181" s="220"/>
      <c r="D181" s="220"/>
      <c r="E181" s="220"/>
      <c r="F181" s="220"/>
    </row>
    <row r="182" spans="1:6" s="6" customFormat="1" x14ac:dyDescent="0.3">
      <c r="A182" s="220"/>
      <c r="B182" s="220"/>
      <c r="C182" s="220"/>
      <c r="D182" s="220"/>
      <c r="E182" s="220"/>
      <c r="F182" s="220"/>
    </row>
    <row r="183" spans="1:6" s="6" customFormat="1" x14ac:dyDescent="0.3">
      <c r="A183" s="220"/>
      <c r="B183" s="220"/>
      <c r="C183" s="220"/>
      <c r="D183" s="220"/>
      <c r="E183" s="220"/>
      <c r="F183" s="220"/>
    </row>
    <row r="184" spans="1:6" s="6" customFormat="1" x14ac:dyDescent="0.3">
      <c r="A184" s="220"/>
      <c r="B184" s="220"/>
      <c r="C184" s="220"/>
      <c r="D184" s="220"/>
      <c r="E184" s="220"/>
      <c r="F184" s="220"/>
    </row>
    <row r="185" spans="1:6" s="6" customFormat="1" x14ac:dyDescent="0.3">
      <c r="A185" s="220"/>
      <c r="B185" s="220"/>
      <c r="C185" s="220"/>
      <c r="D185" s="220"/>
      <c r="E185" s="220"/>
      <c r="F185" s="220"/>
    </row>
    <row r="186" spans="1:6" s="6" customFormat="1" x14ac:dyDescent="0.3">
      <c r="A186" s="220"/>
      <c r="B186" s="220"/>
      <c r="C186" s="220"/>
      <c r="D186" s="220"/>
      <c r="E186" s="220"/>
      <c r="F186" s="220"/>
    </row>
    <row r="187" spans="1:6" s="6" customFormat="1" x14ac:dyDescent="0.3">
      <c r="A187" s="220"/>
      <c r="B187" s="220"/>
      <c r="C187" s="220"/>
      <c r="D187" s="220"/>
      <c r="E187" s="220"/>
      <c r="F187" s="220"/>
    </row>
    <row r="188" spans="1:6" s="6" customFormat="1" x14ac:dyDescent="0.3">
      <c r="A188" s="220"/>
      <c r="B188" s="220"/>
      <c r="C188" s="220"/>
      <c r="D188" s="220"/>
      <c r="E188" s="220"/>
      <c r="F188" s="220"/>
    </row>
    <row r="189" spans="1:6" s="6" customFormat="1" x14ac:dyDescent="0.3">
      <c r="A189" s="220"/>
      <c r="B189" s="220"/>
      <c r="C189" s="220"/>
      <c r="D189" s="220"/>
      <c r="E189" s="220"/>
      <c r="F189" s="220"/>
    </row>
    <row r="190" spans="1:6" s="6" customFormat="1" x14ac:dyDescent="0.3">
      <c r="A190" s="220"/>
      <c r="B190" s="220"/>
      <c r="C190" s="220"/>
      <c r="D190" s="220"/>
      <c r="E190" s="220"/>
      <c r="F190" s="220"/>
    </row>
    <row r="191" spans="1:6" s="6" customFormat="1" x14ac:dyDescent="0.3">
      <c r="A191" s="220"/>
      <c r="B191" s="220"/>
      <c r="C191" s="220"/>
      <c r="D191" s="220"/>
      <c r="E191" s="220"/>
      <c r="F191" s="220"/>
    </row>
    <row r="192" spans="1:6" s="6" customFormat="1" x14ac:dyDescent="0.3">
      <c r="A192" s="220"/>
      <c r="B192" s="220"/>
      <c r="C192" s="220"/>
      <c r="D192" s="220"/>
      <c r="E192" s="220"/>
      <c r="F192" s="220"/>
    </row>
    <row r="193" spans="1:6" s="6" customFormat="1" x14ac:dyDescent="0.3">
      <c r="A193" s="220"/>
      <c r="B193" s="220"/>
      <c r="C193" s="220"/>
      <c r="D193" s="220"/>
      <c r="E193" s="220"/>
      <c r="F193" s="220"/>
    </row>
    <row r="194" spans="1:6" s="6" customFormat="1" x14ac:dyDescent="0.3">
      <c r="A194" s="220"/>
      <c r="B194" s="220"/>
      <c r="C194" s="220"/>
      <c r="D194" s="220"/>
      <c r="E194" s="220"/>
      <c r="F194" s="220"/>
    </row>
    <row r="195" spans="1:6" s="6" customFormat="1" x14ac:dyDescent="0.3">
      <c r="A195" s="220"/>
      <c r="B195" s="220"/>
      <c r="C195" s="220"/>
      <c r="D195" s="220"/>
      <c r="E195" s="220"/>
      <c r="F195" s="220"/>
    </row>
    <row r="196" spans="1:6" s="6" customFormat="1" x14ac:dyDescent="0.3">
      <c r="A196" s="220"/>
      <c r="B196" s="220"/>
      <c r="C196" s="220"/>
      <c r="D196" s="220"/>
      <c r="E196" s="220"/>
      <c r="F196" s="220"/>
    </row>
    <row r="197" spans="1:6" s="6" customFormat="1" x14ac:dyDescent="0.3">
      <c r="A197" s="220"/>
      <c r="B197" s="220"/>
      <c r="C197" s="220"/>
      <c r="D197" s="220"/>
      <c r="E197" s="220"/>
      <c r="F197" s="220"/>
    </row>
    <row r="198" spans="1:6" s="6" customFormat="1" x14ac:dyDescent="0.3">
      <c r="A198" s="220"/>
      <c r="B198" s="220"/>
      <c r="C198" s="220"/>
      <c r="D198" s="220"/>
      <c r="E198" s="220"/>
      <c r="F198" s="220"/>
    </row>
    <row r="199" spans="1:6" s="6" customFormat="1" x14ac:dyDescent="0.3">
      <c r="A199" s="220"/>
      <c r="B199" s="220"/>
      <c r="C199" s="220"/>
      <c r="D199" s="220"/>
      <c r="E199" s="220"/>
      <c r="F199" s="220"/>
    </row>
    <row r="200" spans="1:6" s="6" customFormat="1" x14ac:dyDescent="0.3">
      <c r="A200" s="220"/>
      <c r="B200" s="220"/>
      <c r="C200" s="220"/>
      <c r="D200" s="220"/>
      <c r="E200" s="220"/>
      <c r="F200" s="220"/>
    </row>
    <row r="201" spans="1:6" s="6" customFormat="1" x14ac:dyDescent="0.3">
      <c r="A201" s="220"/>
      <c r="B201" s="220"/>
      <c r="C201" s="220"/>
      <c r="D201" s="220"/>
      <c r="E201" s="220"/>
      <c r="F201" s="220"/>
    </row>
    <row r="202" spans="1:6" s="6" customFormat="1" x14ac:dyDescent="0.3">
      <c r="A202" s="220"/>
      <c r="B202" s="220"/>
      <c r="C202" s="220"/>
      <c r="D202" s="220"/>
      <c r="E202" s="220"/>
      <c r="F202" s="220"/>
    </row>
    <row r="203" spans="1:6" s="6" customFormat="1" x14ac:dyDescent="0.3">
      <c r="A203" s="220"/>
      <c r="B203" s="220"/>
      <c r="C203" s="220"/>
      <c r="D203" s="220"/>
      <c r="E203" s="220"/>
      <c r="F203" s="220"/>
    </row>
    <row r="204" spans="1:6" s="6" customFormat="1" x14ac:dyDescent="0.3">
      <c r="A204" s="220"/>
      <c r="B204" s="220"/>
      <c r="C204" s="220"/>
      <c r="D204" s="220"/>
      <c r="E204" s="220"/>
      <c r="F204" s="220"/>
    </row>
    <row r="205" spans="1:6" s="6" customFormat="1" x14ac:dyDescent="0.3">
      <c r="A205" s="220"/>
      <c r="B205" s="220"/>
      <c r="C205" s="220"/>
      <c r="D205" s="220"/>
      <c r="E205" s="220"/>
      <c r="F205" s="220"/>
    </row>
    <row r="206" spans="1:6" s="6" customFormat="1" x14ac:dyDescent="0.3">
      <c r="A206" s="220"/>
      <c r="B206" s="220"/>
      <c r="C206" s="220"/>
      <c r="D206" s="220"/>
      <c r="E206" s="220"/>
      <c r="F206" s="220"/>
    </row>
    <row r="207" spans="1:6" s="6" customFormat="1" x14ac:dyDescent="0.3">
      <c r="A207" s="220"/>
      <c r="B207" s="220"/>
      <c r="C207" s="220"/>
      <c r="D207" s="220"/>
      <c r="E207" s="220"/>
      <c r="F207" s="220"/>
    </row>
    <row r="208" spans="1:6" s="6" customFormat="1" x14ac:dyDescent="0.3">
      <c r="A208" s="220"/>
      <c r="B208" s="220"/>
      <c r="C208" s="220"/>
      <c r="D208" s="220"/>
      <c r="E208" s="220"/>
      <c r="F208" s="220"/>
    </row>
    <row r="209" spans="1:6" s="6" customFormat="1" x14ac:dyDescent="0.3">
      <c r="A209" s="220"/>
      <c r="B209" s="220"/>
      <c r="C209" s="220"/>
      <c r="D209" s="220"/>
      <c r="E209" s="220"/>
      <c r="F209" s="220"/>
    </row>
    <row r="210" spans="1:6" s="6" customFormat="1" x14ac:dyDescent="0.3">
      <c r="A210" s="220"/>
      <c r="B210" s="220"/>
      <c r="C210" s="220"/>
      <c r="D210" s="220"/>
      <c r="E210" s="220"/>
      <c r="F210" s="220"/>
    </row>
    <row r="211" spans="1:6" s="6" customFormat="1" x14ac:dyDescent="0.3">
      <c r="A211" s="220"/>
      <c r="B211" s="220"/>
      <c r="C211" s="220"/>
      <c r="D211" s="220"/>
      <c r="E211" s="220"/>
      <c r="F211" s="220"/>
    </row>
    <row r="212" spans="1:6" s="6" customFormat="1" x14ac:dyDescent="0.3">
      <c r="A212" s="220"/>
      <c r="B212" s="220"/>
      <c r="C212" s="220"/>
      <c r="D212" s="220"/>
      <c r="E212" s="220"/>
      <c r="F212" s="220"/>
    </row>
    <row r="213" spans="1:6" s="6" customFormat="1" x14ac:dyDescent="0.3">
      <c r="A213" s="220"/>
      <c r="B213" s="220"/>
      <c r="C213" s="220"/>
      <c r="D213" s="220"/>
      <c r="E213" s="220"/>
      <c r="F213" s="220"/>
    </row>
    <row r="214" spans="1:6" s="6" customFormat="1" x14ac:dyDescent="0.3">
      <c r="A214" s="220"/>
      <c r="B214" s="220"/>
      <c r="C214" s="220"/>
      <c r="D214" s="220"/>
      <c r="E214" s="220"/>
      <c r="F214" s="220"/>
    </row>
    <row r="215" spans="1:6" s="6" customFormat="1" x14ac:dyDescent="0.3">
      <c r="A215" s="220"/>
      <c r="B215" s="220"/>
      <c r="C215" s="220"/>
      <c r="D215" s="220"/>
      <c r="E215" s="220"/>
      <c r="F215" s="220"/>
    </row>
    <row r="216" spans="1:6" s="6" customFormat="1" x14ac:dyDescent="0.3">
      <c r="A216" s="220"/>
      <c r="B216" s="220"/>
      <c r="C216" s="220"/>
      <c r="D216" s="220"/>
      <c r="E216" s="220"/>
      <c r="F216" s="220"/>
    </row>
    <row r="217" spans="1:6" s="6" customFormat="1" x14ac:dyDescent="0.3">
      <c r="A217" s="220"/>
      <c r="B217" s="220"/>
      <c r="C217" s="220"/>
      <c r="D217" s="220"/>
      <c r="E217" s="220"/>
      <c r="F217" s="220"/>
    </row>
    <row r="218" spans="1:6" s="6" customFormat="1" x14ac:dyDescent="0.3">
      <c r="A218" s="220"/>
      <c r="B218" s="220"/>
      <c r="C218" s="220"/>
      <c r="D218" s="220"/>
      <c r="E218" s="220"/>
      <c r="F218" s="220"/>
    </row>
    <row r="219" spans="1:6" s="6" customFormat="1" x14ac:dyDescent="0.3">
      <c r="A219" s="220"/>
      <c r="B219" s="220"/>
      <c r="C219" s="220"/>
      <c r="D219" s="220"/>
      <c r="E219" s="220"/>
      <c r="F219" s="220"/>
    </row>
    <row r="220" spans="1:6" s="6" customFormat="1" x14ac:dyDescent="0.3">
      <c r="A220" s="220"/>
      <c r="B220" s="220"/>
      <c r="C220" s="220"/>
      <c r="D220" s="220"/>
      <c r="E220" s="220"/>
      <c r="F220" s="220"/>
    </row>
    <row r="221" spans="1:6" s="6" customFormat="1" x14ac:dyDescent="0.3">
      <c r="A221" s="220"/>
      <c r="B221" s="220"/>
      <c r="C221" s="220"/>
      <c r="D221" s="220"/>
      <c r="E221" s="220"/>
      <c r="F221" s="220"/>
    </row>
    <row r="222" spans="1:6" s="6" customFormat="1" x14ac:dyDescent="0.3">
      <c r="A222" s="220"/>
      <c r="B222" s="220"/>
      <c r="C222" s="220"/>
      <c r="D222" s="220"/>
      <c r="E222" s="220"/>
      <c r="F222" s="220"/>
    </row>
    <row r="223" spans="1:6" s="6" customFormat="1" x14ac:dyDescent="0.3">
      <c r="A223" s="220"/>
      <c r="B223" s="220"/>
      <c r="C223" s="220"/>
      <c r="D223" s="220"/>
      <c r="E223" s="220"/>
      <c r="F223" s="220"/>
    </row>
    <row r="224" spans="1:6" s="6" customFormat="1" x14ac:dyDescent="0.3">
      <c r="A224" s="220"/>
      <c r="B224" s="220"/>
      <c r="C224" s="220"/>
      <c r="D224" s="220"/>
      <c r="E224" s="220"/>
      <c r="F224" s="220"/>
    </row>
    <row r="225" spans="1:6" s="6" customFormat="1" x14ac:dyDescent="0.3">
      <c r="A225" s="220"/>
      <c r="B225" s="220"/>
      <c r="C225" s="220"/>
      <c r="D225" s="220"/>
      <c r="E225" s="220"/>
      <c r="F225" s="220"/>
    </row>
    <row r="226" spans="1:6" s="6" customFormat="1" x14ac:dyDescent="0.3">
      <c r="A226" s="220"/>
      <c r="B226" s="220"/>
      <c r="C226" s="220"/>
      <c r="D226" s="220"/>
      <c r="E226" s="220"/>
      <c r="F226" s="220"/>
    </row>
    <row r="227" spans="1:6" s="6" customFormat="1" x14ac:dyDescent="0.3">
      <c r="A227" s="220"/>
      <c r="B227" s="220"/>
      <c r="C227" s="220"/>
      <c r="D227" s="220"/>
      <c r="E227" s="220"/>
      <c r="F227" s="220"/>
    </row>
    <row r="228" spans="1:6" s="6" customFormat="1" x14ac:dyDescent="0.3">
      <c r="A228" s="220"/>
      <c r="B228" s="220"/>
      <c r="C228" s="220"/>
      <c r="D228" s="220"/>
      <c r="E228" s="220"/>
      <c r="F228" s="220"/>
    </row>
    <row r="229" spans="1:6" s="6" customFormat="1" x14ac:dyDescent="0.3">
      <c r="A229" s="220"/>
      <c r="B229" s="220"/>
      <c r="C229" s="220"/>
      <c r="D229" s="220"/>
      <c r="E229" s="220"/>
      <c r="F229" s="220"/>
    </row>
    <row r="230" spans="1:6" s="6" customFormat="1" x14ac:dyDescent="0.3">
      <c r="A230" s="220"/>
      <c r="B230" s="220"/>
      <c r="C230" s="220"/>
      <c r="D230" s="220"/>
      <c r="E230" s="220"/>
      <c r="F230" s="220"/>
    </row>
    <row r="231" spans="1:6" s="6" customFormat="1" x14ac:dyDescent="0.3">
      <c r="A231" s="220"/>
      <c r="B231" s="220"/>
      <c r="C231" s="220"/>
      <c r="D231" s="220"/>
      <c r="E231" s="220"/>
      <c r="F231" s="220"/>
    </row>
    <row r="232" spans="1:6" s="6" customFormat="1" x14ac:dyDescent="0.3">
      <c r="A232" s="220"/>
      <c r="B232" s="220"/>
      <c r="C232" s="220"/>
      <c r="D232" s="220"/>
      <c r="E232" s="220"/>
      <c r="F232" s="220"/>
    </row>
    <row r="233" spans="1:6" s="6" customFormat="1" x14ac:dyDescent="0.3">
      <c r="A233" s="220"/>
      <c r="B233" s="220"/>
      <c r="C233" s="220"/>
      <c r="D233" s="220"/>
      <c r="E233" s="220"/>
      <c r="F233" s="220"/>
    </row>
    <row r="234" spans="1:6" s="6" customFormat="1" x14ac:dyDescent="0.3">
      <c r="A234" s="220"/>
      <c r="B234" s="220"/>
      <c r="C234" s="220"/>
      <c r="D234" s="220"/>
      <c r="E234" s="220"/>
      <c r="F234" s="220"/>
    </row>
    <row r="235" spans="1:6" s="6" customFormat="1" x14ac:dyDescent="0.3">
      <c r="A235" s="220"/>
      <c r="B235" s="220"/>
      <c r="C235" s="220"/>
      <c r="D235" s="220"/>
      <c r="E235" s="220"/>
      <c r="F235" s="220"/>
    </row>
    <row r="236" spans="1:6" s="6" customFormat="1" x14ac:dyDescent="0.3">
      <c r="A236" s="220"/>
      <c r="B236" s="220"/>
      <c r="C236" s="220"/>
      <c r="D236" s="220"/>
      <c r="E236" s="220"/>
      <c r="F236" s="220"/>
    </row>
    <row r="237" spans="1:6" s="6" customFormat="1" x14ac:dyDescent="0.3">
      <c r="A237" s="220"/>
      <c r="B237" s="220"/>
      <c r="C237" s="220"/>
      <c r="D237" s="220"/>
      <c r="E237" s="220"/>
      <c r="F237" s="220"/>
    </row>
    <row r="238" spans="1:6" s="6" customFormat="1" x14ac:dyDescent="0.3">
      <c r="A238" s="220"/>
      <c r="B238" s="220"/>
      <c r="C238" s="220"/>
      <c r="D238" s="220"/>
      <c r="E238" s="220"/>
      <c r="F238" s="220"/>
    </row>
    <row r="239" spans="1:6" s="6" customFormat="1" x14ac:dyDescent="0.3">
      <c r="A239" s="220"/>
      <c r="B239" s="220"/>
      <c r="C239" s="220"/>
      <c r="D239" s="220"/>
      <c r="E239" s="220"/>
      <c r="F239" s="220"/>
    </row>
    <row r="240" spans="1:6" s="6" customFormat="1" x14ac:dyDescent="0.3">
      <c r="A240" s="220"/>
      <c r="B240" s="220"/>
      <c r="C240" s="220"/>
      <c r="D240" s="220"/>
      <c r="E240" s="220"/>
      <c r="F240" s="220"/>
    </row>
    <row r="241" spans="1:6" s="6" customFormat="1" x14ac:dyDescent="0.3">
      <c r="A241" s="220"/>
      <c r="B241" s="220"/>
      <c r="C241" s="220"/>
      <c r="D241" s="220"/>
      <c r="E241" s="220"/>
      <c r="F241" s="220"/>
    </row>
    <row r="242" spans="1:6" s="6" customFormat="1" x14ac:dyDescent="0.3">
      <c r="A242" s="220"/>
      <c r="B242" s="220"/>
      <c r="C242" s="220"/>
      <c r="D242" s="220"/>
      <c r="E242" s="220"/>
      <c r="F242" s="220"/>
    </row>
    <row r="243" spans="1:6" s="6" customFormat="1" x14ac:dyDescent="0.3">
      <c r="A243" s="220"/>
      <c r="B243" s="220"/>
      <c r="C243" s="220"/>
      <c r="D243" s="220"/>
      <c r="E243" s="220"/>
      <c r="F243" s="220"/>
    </row>
    <row r="244" spans="1:6" s="6" customFormat="1" x14ac:dyDescent="0.3">
      <c r="A244" s="220"/>
      <c r="B244" s="220"/>
      <c r="C244" s="220"/>
      <c r="D244" s="220"/>
      <c r="E244" s="220"/>
      <c r="F244" s="220"/>
    </row>
    <row r="245" spans="1:6" s="6" customFormat="1" x14ac:dyDescent="0.3">
      <c r="A245" s="220"/>
      <c r="B245" s="220"/>
      <c r="C245" s="220"/>
      <c r="D245" s="220"/>
      <c r="E245" s="220"/>
      <c r="F245" s="220"/>
    </row>
    <row r="246" spans="1:6" s="6" customFormat="1" x14ac:dyDescent="0.3">
      <c r="A246" s="220"/>
      <c r="B246" s="220"/>
      <c r="C246" s="220"/>
      <c r="D246" s="220"/>
      <c r="E246" s="220"/>
      <c r="F246" s="220"/>
    </row>
    <row r="247" spans="1:6" s="6" customFormat="1" x14ac:dyDescent="0.3">
      <c r="A247" s="220"/>
      <c r="B247" s="220"/>
      <c r="C247" s="220"/>
      <c r="D247" s="220"/>
      <c r="E247" s="220"/>
      <c r="F247" s="220"/>
    </row>
    <row r="248" spans="1:6" s="6" customFormat="1" x14ac:dyDescent="0.3">
      <c r="A248" s="220"/>
      <c r="B248" s="220"/>
      <c r="C248" s="220"/>
      <c r="D248" s="220"/>
      <c r="E248" s="220"/>
      <c r="F248" s="220"/>
    </row>
    <row r="249" spans="1:6" s="6" customFormat="1" x14ac:dyDescent="0.3">
      <c r="A249" s="220"/>
      <c r="B249" s="220"/>
      <c r="C249" s="220"/>
      <c r="D249" s="220"/>
      <c r="E249" s="220"/>
      <c r="F249" s="220"/>
    </row>
    <row r="250" spans="1:6" s="6" customFormat="1" x14ac:dyDescent="0.3">
      <c r="A250" s="220"/>
      <c r="B250" s="220"/>
      <c r="C250" s="220"/>
      <c r="D250" s="220"/>
      <c r="E250" s="220"/>
      <c r="F250" s="220"/>
    </row>
    <row r="251" spans="1:6" s="6" customFormat="1" x14ac:dyDescent="0.3">
      <c r="A251" s="220"/>
      <c r="B251" s="220"/>
      <c r="C251" s="220"/>
      <c r="D251" s="220"/>
      <c r="E251" s="220"/>
      <c r="F251" s="220"/>
    </row>
    <row r="252" spans="1:6" s="6" customFormat="1" x14ac:dyDescent="0.3">
      <c r="A252" s="220"/>
      <c r="B252" s="220"/>
      <c r="C252" s="220"/>
      <c r="D252" s="220"/>
      <c r="E252" s="220"/>
      <c r="F252" s="220"/>
    </row>
    <row r="253" spans="1:6" s="6" customFormat="1" x14ac:dyDescent="0.3">
      <c r="A253" s="220"/>
      <c r="B253" s="220"/>
      <c r="C253" s="220"/>
      <c r="D253" s="220"/>
      <c r="E253" s="220"/>
      <c r="F253" s="220"/>
    </row>
    <row r="254" spans="1:6" s="6" customFormat="1" x14ac:dyDescent="0.3">
      <c r="A254" s="220"/>
      <c r="B254" s="220"/>
      <c r="C254" s="220"/>
      <c r="D254" s="220"/>
      <c r="E254" s="220"/>
      <c r="F254" s="220"/>
    </row>
    <row r="255" spans="1:6" s="6" customFormat="1" x14ac:dyDescent="0.3">
      <c r="A255" s="220"/>
      <c r="B255" s="220"/>
      <c r="C255" s="220"/>
      <c r="D255" s="220"/>
      <c r="E255" s="220"/>
      <c r="F255" s="220"/>
    </row>
    <row r="256" spans="1:6" s="6" customFormat="1" x14ac:dyDescent="0.3">
      <c r="A256" s="220"/>
      <c r="B256" s="220"/>
      <c r="C256" s="220"/>
      <c r="D256" s="220"/>
      <c r="E256" s="220"/>
      <c r="F256" s="220"/>
    </row>
    <row r="257" spans="1:6" s="6" customFormat="1" x14ac:dyDescent="0.3">
      <c r="A257" s="220"/>
      <c r="B257" s="220"/>
      <c r="C257" s="220"/>
      <c r="D257" s="220"/>
      <c r="E257" s="220"/>
      <c r="F257" s="220"/>
    </row>
    <row r="258" spans="1:6" s="6" customFormat="1" x14ac:dyDescent="0.3">
      <c r="A258" s="220"/>
      <c r="B258" s="220"/>
      <c r="C258" s="220"/>
      <c r="D258" s="220"/>
      <c r="E258" s="220"/>
      <c r="F258" s="220"/>
    </row>
    <row r="259" spans="1:6" s="6" customFormat="1" x14ac:dyDescent="0.3">
      <c r="A259" s="220"/>
      <c r="B259" s="220"/>
      <c r="C259" s="220"/>
      <c r="D259" s="220"/>
      <c r="E259" s="220"/>
      <c r="F259" s="220"/>
    </row>
    <row r="260" spans="1:6" s="6" customFormat="1" x14ac:dyDescent="0.3">
      <c r="A260" s="220"/>
      <c r="B260" s="220"/>
      <c r="C260" s="220"/>
      <c r="D260" s="220"/>
      <c r="E260" s="220"/>
      <c r="F260" s="220"/>
    </row>
    <row r="261" spans="1:6" s="6" customFormat="1" x14ac:dyDescent="0.3">
      <c r="A261" s="220"/>
      <c r="B261" s="220"/>
      <c r="C261" s="220"/>
      <c r="D261" s="220"/>
      <c r="E261" s="220"/>
      <c r="F261" s="220"/>
    </row>
    <row r="262" spans="1:6" s="6" customFormat="1" x14ac:dyDescent="0.3">
      <c r="A262" s="220"/>
      <c r="B262" s="220"/>
      <c r="C262" s="220"/>
      <c r="D262" s="220"/>
      <c r="E262" s="220"/>
      <c r="F262" s="220"/>
    </row>
    <row r="263" spans="1:6" s="6" customFormat="1" x14ac:dyDescent="0.3">
      <c r="A263" s="220"/>
      <c r="B263" s="220"/>
      <c r="C263" s="220"/>
      <c r="D263" s="220"/>
      <c r="E263" s="220"/>
      <c r="F263" s="220"/>
    </row>
    <row r="264" spans="1:6" s="6" customFormat="1" x14ac:dyDescent="0.3">
      <c r="A264" s="220"/>
      <c r="B264" s="220"/>
      <c r="C264" s="220"/>
      <c r="D264" s="220"/>
      <c r="E264" s="220"/>
      <c r="F264" s="220"/>
    </row>
    <row r="265" spans="1:6" s="6" customFormat="1" x14ac:dyDescent="0.3">
      <c r="A265" s="220"/>
      <c r="B265" s="220"/>
      <c r="C265" s="220"/>
      <c r="D265" s="220"/>
      <c r="E265" s="220"/>
      <c r="F265" s="220"/>
    </row>
    <row r="266" spans="1:6" s="6" customFormat="1" x14ac:dyDescent="0.3">
      <c r="A266" s="220"/>
      <c r="B266" s="220"/>
      <c r="C266" s="220"/>
      <c r="D266" s="220"/>
      <c r="E266" s="220"/>
      <c r="F266" s="220"/>
    </row>
    <row r="267" spans="1:6" s="6" customFormat="1" x14ac:dyDescent="0.3">
      <c r="A267" s="220"/>
      <c r="B267" s="220"/>
      <c r="C267" s="220"/>
      <c r="D267" s="220"/>
      <c r="E267" s="220"/>
      <c r="F267" s="220"/>
    </row>
    <row r="268" spans="1:6" s="6" customFormat="1" x14ac:dyDescent="0.3">
      <c r="A268" s="220"/>
      <c r="B268" s="220"/>
      <c r="C268" s="220"/>
      <c r="D268" s="220"/>
      <c r="E268" s="220"/>
      <c r="F268" s="220"/>
    </row>
    <row r="269" spans="1:6" s="6" customFormat="1" x14ac:dyDescent="0.3">
      <c r="A269" s="220"/>
      <c r="B269" s="220"/>
      <c r="C269" s="220"/>
      <c r="D269" s="220"/>
      <c r="E269" s="220"/>
      <c r="F269" s="220"/>
    </row>
    <row r="270" spans="1:6" s="6" customFormat="1" x14ac:dyDescent="0.3">
      <c r="A270" s="220"/>
      <c r="B270" s="220"/>
      <c r="C270" s="220"/>
      <c r="D270" s="220"/>
      <c r="E270" s="220"/>
      <c r="F270" s="220"/>
    </row>
    <row r="271" spans="1:6" s="6" customFormat="1" x14ac:dyDescent="0.3">
      <c r="A271" s="220"/>
      <c r="B271" s="220"/>
      <c r="C271" s="220"/>
      <c r="D271" s="220"/>
      <c r="E271" s="220"/>
      <c r="F271" s="220"/>
    </row>
    <row r="272" spans="1:6" s="6" customFormat="1" x14ac:dyDescent="0.3">
      <c r="A272" s="220"/>
      <c r="B272" s="220"/>
      <c r="C272" s="220"/>
      <c r="D272" s="220"/>
      <c r="E272" s="220"/>
      <c r="F272" s="220"/>
    </row>
    <row r="273" spans="1:6" s="6" customFormat="1" x14ac:dyDescent="0.3">
      <c r="A273" s="220"/>
      <c r="B273" s="220"/>
      <c r="C273" s="220"/>
      <c r="D273" s="220"/>
      <c r="E273" s="220"/>
      <c r="F273" s="220"/>
    </row>
    <row r="274" spans="1:6" s="6" customFormat="1" x14ac:dyDescent="0.3">
      <c r="A274" s="220"/>
      <c r="B274" s="220"/>
      <c r="C274" s="220"/>
      <c r="D274" s="220"/>
      <c r="E274" s="220"/>
      <c r="F274" s="220"/>
    </row>
    <row r="275" spans="1:6" s="6" customFormat="1" x14ac:dyDescent="0.3">
      <c r="A275" s="220"/>
      <c r="B275" s="220"/>
      <c r="C275" s="220"/>
      <c r="D275" s="220"/>
      <c r="E275" s="220"/>
      <c r="F275" s="220"/>
    </row>
    <row r="276" spans="1:6" s="6" customFormat="1" x14ac:dyDescent="0.3">
      <c r="A276" s="220"/>
      <c r="B276" s="220"/>
      <c r="C276" s="220"/>
      <c r="D276" s="220"/>
      <c r="E276" s="220"/>
      <c r="F276" s="220"/>
    </row>
    <row r="277" spans="1:6" s="6" customFormat="1" x14ac:dyDescent="0.3">
      <c r="A277" s="220"/>
      <c r="B277" s="220"/>
      <c r="C277" s="220"/>
      <c r="D277" s="220"/>
      <c r="E277" s="220"/>
      <c r="F277" s="220"/>
    </row>
    <row r="278" spans="1:6" s="6" customFormat="1" x14ac:dyDescent="0.3">
      <c r="A278" s="220"/>
      <c r="B278" s="220"/>
      <c r="C278" s="220"/>
      <c r="D278" s="220"/>
      <c r="E278" s="220"/>
      <c r="F278" s="220"/>
    </row>
    <row r="279" spans="1:6" s="6" customFormat="1" x14ac:dyDescent="0.3">
      <c r="A279" s="220"/>
      <c r="B279" s="220"/>
      <c r="C279" s="220"/>
      <c r="D279" s="220"/>
      <c r="E279" s="220"/>
      <c r="F279" s="220"/>
    </row>
    <row r="280" spans="1:6" s="6" customFormat="1" x14ac:dyDescent="0.3">
      <c r="A280" s="220"/>
      <c r="B280" s="220"/>
      <c r="C280" s="220"/>
      <c r="D280" s="220"/>
      <c r="E280" s="220"/>
      <c r="F280" s="220"/>
    </row>
    <row r="281" spans="1:6" s="6" customFormat="1" x14ac:dyDescent="0.3">
      <c r="A281" s="220"/>
      <c r="B281" s="220"/>
      <c r="C281" s="220"/>
      <c r="D281" s="220"/>
      <c r="E281" s="220"/>
      <c r="F281" s="220"/>
    </row>
    <row r="282" spans="1:6" s="6" customFormat="1" x14ac:dyDescent="0.3">
      <c r="A282" s="220"/>
      <c r="B282" s="220"/>
      <c r="C282" s="220"/>
      <c r="D282" s="220"/>
      <c r="E282" s="220"/>
      <c r="F282" s="220"/>
    </row>
    <row r="283" spans="1:6" s="6" customFormat="1" x14ac:dyDescent="0.3">
      <c r="A283" s="220"/>
      <c r="B283" s="220"/>
      <c r="C283" s="220"/>
      <c r="D283" s="220"/>
      <c r="E283" s="220"/>
      <c r="F283" s="220"/>
    </row>
    <row r="284" spans="1:6" s="6" customFormat="1" x14ac:dyDescent="0.3">
      <c r="A284" s="220"/>
      <c r="B284" s="220"/>
      <c r="C284" s="220"/>
      <c r="D284" s="220"/>
      <c r="E284" s="220"/>
      <c r="F284" s="220"/>
    </row>
  </sheetData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D35CF-DD97-48BE-8153-953A007D4E25}">
  <sheetPr>
    <tabColor theme="8"/>
  </sheetPr>
  <dimension ref="A1:AL92"/>
  <sheetViews>
    <sheetView topLeftCell="A9" zoomScaleNormal="100" workbookViewId="0">
      <selection activeCell="D65" sqref="D65"/>
    </sheetView>
  </sheetViews>
  <sheetFormatPr defaultRowHeight="14.4" x14ac:dyDescent="0.3"/>
  <cols>
    <col min="1" max="1" width="43.5546875" style="210" customWidth="1"/>
    <col min="2" max="2" width="9.77734375" style="210" customWidth="1"/>
    <col min="3" max="3" width="15.88671875" style="210" hidden="1" customWidth="1"/>
    <col min="4" max="4" width="13" style="290" customWidth="1"/>
    <col min="5" max="5" width="12" style="210" customWidth="1"/>
    <col min="6" max="6" width="13" style="210" customWidth="1"/>
    <col min="7" max="7" width="13" style="5" customWidth="1"/>
    <col min="8" max="8" width="15.44140625" style="5" bestFit="1" customWidth="1"/>
    <col min="9" max="38" width="8.77734375" style="5"/>
  </cols>
  <sheetData>
    <row r="1" spans="1:7" hidden="1" x14ac:dyDescent="0.3"/>
    <row r="3" spans="1:7" ht="15" thickBot="1" x14ac:dyDescent="0.35">
      <c r="A3" s="1" t="s">
        <v>186</v>
      </c>
    </row>
    <row r="4" spans="1:7" s="5" customFormat="1" ht="22.5" customHeight="1" thickBot="1" x14ac:dyDescent="0.35">
      <c r="A4" s="110" t="s">
        <v>119</v>
      </c>
      <c r="B4" s="110" t="s">
        <v>185</v>
      </c>
      <c r="C4" s="110" t="s">
        <v>1</v>
      </c>
      <c r="D4" s="110" t="s">
        <v>154</v>
      </c>
      <c r="E4" s="110" t="s">
        <v>155</v>
      </c>
      <c r="F4" s="110" t="s">
        <v>156</v>
      </c>
    </row>
    <row r="5" spans="1:7" ht="27" customHeight="1" x14ac:dyDescent="0.3">
      <c r="A5" s="410" t="s">
        <v>183</v>
      </c>
      <c r="B5" s="411" t="s">
        <v>63</v>
      </c>
      <c r="C5" s="412" t="s">
        <v>174</v>
      </c>
      <c r="D5" s="413">
        <f>15000000-3000000</f>
        <v>12000000</v>
      </c>
      <c r="E5" s="413">
        <f>10000000+3000000</f>
        <v>13000000</v>
      </c>
      <c r="F5" s="411"/>
    </row>
    <row r="6" spans="1:7" x14ac:dyDescent="0.3">
      <c r="A6" s="237" t="s">
        <v>177</v>
      </c>
      <c r="B6" s="237" t="s">
        <v>63</v>
      </c>
      <c r="C6" s="331" t="s">
        <v>174</v>
      </c>
      <c r="D6" s="414">
        <f>8000000</f>
        <v>8000000</v>
      </c>
      <c r="E6" s="414">
        <v>15000000</v>
      </c>
      <c r="F6" s="237"/>
    </row>
    <row r="7" spans="1:7" x14ac:dyDescent="0.3">
      <c r="A7" s="237" t="s">
        <v>178</v>
      </c>
      <c r="B7" s="237" t="s">
        <v>63</v>
      </c>
      <c r="C7" s="331" t="s">
        <v>174</v>
      </c>
      <c r="D7" s="414">
        <f>(18000000-8000000-539050-15000)-135000</f>
        <v>9310950</v>
      </c>
      <c r="E7" s="414">
        <v>15000000</v>
      </c>
      <c r="F7" s="237"/>
    </row>
    <row r="8" spans="1:7" x14ac:dyDescent="0.3">
      <c r="A8" s="331" t="s">
        <v>162</v>
      </c>
      <c r="B8" s="370" t="s">
        <v>63</v>
      </c>
      <c r="C8" s="331" t="s">
        <v>174</v>
      </c>
      <c r="D8" s="332">
        <f>16700000-7000000-350000</f>
        <v>9350000</v>
      </c>
      <c r="E8" s="370">
        <f>10000000+1361850</f>
        <v>11361850</v>
      </c>
      <c r="F8" s="370"/>
    </row>
    <row r="9" spans="1:7" ht="15" thickBot="1" x14ac:dyDescent="0.35">
      <c r="A9" s="415" t="s">
        <v>133</v>
      </c>
      <c r="B9" s="416" t="s">
        <v>63</v>
      </c>
      <c r="C9" s="415" t="s">
        <v>135</v>
      </c>
      <c r="D9" s="417">
        <f>19500000-8000000</f>
        <v>11500000</v>
      </c>
      <c r="E9" s="416"/>
      <c r="F9" s="416"/>
      <c r="G9" s="369"/>
    </row>
    <row r="10" spans="1:7" ht="22.5" customHeight="1" thickBot="1" x14ac:dyDescent="0.35">
      <c r="A10" s="110" t="s">
        <v>132</v>
      </c>
      <c r="B10" s="110"/>
      <c r="C10" s="110"/>
      <c r="D10" s="110">
        <f>SUM(D5:D9)</f>
        <v>50160950</v>
      </c>
      <c r="E10" s="110">
        <f>SUM(E5:E9)</f>
        <v>54361850</v>
      </c>
      <c r="F10" s="110"/>
      <c r="G10" s="367"/>
    </row>
    <row r="11" spans="1:7" ht="22.5" customHeight="1" thickBot="1" x14ac:dyDescent="0.35">
      <c r="A11" s="399"/>
      <c r="B11" s="399"/>
      <c r="C11" s="399"/>
      <c r="D11" s="399"/>
      <c r="E11" s="399"/>
      <c r="F11" s="399"/>
      <c r="G11" s="367"/>
    </row>
    <row r="12" spans="1:7" s="5" customFormat="1" ht="22.5" customHeight="1" thickBot="1" x14ac:dyDescent="0.35">
      <c r="A12" s="110" t="s">
        <v>119</v>
      </c>
      <c r="B12" s="110" t="s">
        <v>185</v>
      </c>
      <c r="C12" s="110" t="s">
        <v>1</v>
      </c>
      <c r="D12" s="110" t="s">
        <v>154</v>
      </c>
      <c r="E12" s="110" t="s">
        <v>155</v>
      </c>
      <c r="F12" s="110" t="s">
        <v>156</v>
      </c>
    </row>
    <row r="13" spans="1:7" ht="33.450000000000003" customHeight="1" thickBot="1" x14ac:dyDescent="0.35">
      <c r="A13" s="110" t="s">
        <v>141</v>
      </c>
      <c r="B13" s="110" t="s">
        <v>143</v>
      </c>
      <c r="C13" s="110" t="s">
        <v>135</v>
      </c>
      <c r="D13" s="110">
        <v>12412000</v>
      </c>
      <c r="E13" s="110">
        <v>11212000</v>
      </c>
      <c r="F13" s="110"/>
    </row>
    <row r="14" spans="1:7" ht="15" thickBot="1" x14ac:dyDescent="0.35">
      <c r="A14" s="123"/>
      <c r="B14" s="286"/>
      <c r="C14" s="123"/>
      <c r="D14" s="291"/>
      <c r="E14" s="286"/>
      <c r="F14" s="286"/>
    </row>
    <row r="15" spans="1:7" ht="34.950000000000003" customHeight="1" thickBot="1" x14ac:dyDescent="0.35">
      <c r="A15" s="110" t="s">
        <v>142</v>
      </c>
      <c r="B15" s="110" t="s">
        <v>144</v>
      </c>
      <c r="C15" s="110" t="s">
        <v>135</v>
      </c>
      <c r="D15" s="110">
        <v>4000000</v>
      </c>
      <c r="E15" s="110"/>
      <c r="F15" s="110"/>
    </row>
    <row r="16" spans="1:7" hidden="1" x14ac:dyDescent="0.3">
      <c r="A16" s="49"/>
      <c r="B16" s="49"/>
      <c r="C16" s="49" t="s">
        <v>77</v>
      </c>
      <c r="D16" s="292"/>
      <c r="E16" s="49"/>
      <c r="F16" s="49"/>
    </row>
    <row r="17" spans="1:38" hidden="1" x14ac:dyDescent="0.3">
      <c r="A17" s="53"/>
      <c r="B17" s="53"/>
      <c r="C17" s="53" t="s">
        <v>78</v>
      </c>
      <c r="D17" s="293"/>
      <c r="E17" s="53"/>
      <c r="F17" s="53"/>
    </row>
    <row r="18" spans="1:38" hidden="1" x14ac:dyDescent="0.3">
      <c r="A18" s="53"/>
      <c r="B18" s="53"/>
      <c r="C18" s="53" t="s">
        <v>79</v>
      </c>
      <c r="D18" s="293"/>
      <c r="E18" s="53"/>
      <c r="F18" s="53"/>
    </row>
    <row r="19" spans="1:38" hidden="1" x14ac:dyDescent="0.3">
      <c r="A19" s="53"/>
      <c r="B19" s="53"/>
      <c r="C19" s="53" t="s">
        <v>80</v>
      </c>
      <c r="D19" s="293"/>
      <c r="E19" s="53"/>
      <c r="F19" s="53"/>
    </row>
    <row r="20" spans="1:38" hidden="1" x14ac:dyDescent="0.3">
      <c r="A20" s="215"/>
      <c r="B20" s="215"/>
      <c r="C20" s="215" t="s">
        <v>15</v>
      </c>
      <c r="D20" s="294"/>
      <c r="E20" s="215"/>
      <c r="F20" s="215"/>
    </row>
    <row r="21" spans="1:38" hidden="1" x14ac:dyDescent="0.3">
      <c r="A21" s="215"/>
      <c r="B21" s="215"/>
      <c r="C21" s="215" t="s">
        <v>81</v>
      </c>
      <c r="D21" s="294"/>
      <c r="E21" s="215"/>
      <c r="F21" s="215"/>
    </row>
    <row r="22" spans="1:38" hidden="1" x14ac:dyDescent="0.3"/>
    <row r="23" spans="1:38" s="2" customFormat="1" hidden="1" x14ac:dyDescent="0.3">
      <c r="A23" s="210" t="s">
        <v>82</v>
      </c>
      <c r="B23" s="210"/>
      <c r="C23" s="210"/>
      <c r="D23" s="290"/>
      <c r="E23" s="210"/>
      <c r="F23" s="210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</row>
    <row r="24" spans="1:38" s="2" customFormat="1" hidden="1" x14ac:dyDescent="0.3">
      <c r="A24" s="210" t="s">
        <v>83</v>
      </c>
      <c r="B24" s="210"/>
      <c r="C24" s="210"/>
      <c r="D24" s="290"/>
      <c r="E24" s="210"/>
      <c r="F24" s="210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</row>
    <row r="25" spans="1:38" s="2" customFormat="1" hidden="1" x14ac:dyDescent="0.3">
      <c r="A25" s="210"/>
      <c r="B25" s="210"/>
      <c r="C25" s="210"/>
      <c r="D25" s="290"/>
      <c r="E25" s="210"/>
      <c r="F25" s="210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</row>
    <row r="26" spans="1:38" s="2" customFormat="1" hidden="1" x14ac:dyDescent="0.3">
      <c r="A26" s="210" t="s">
        <v>84</v>
      </c>
      <c r="B26" s="210"/>
      <c r="C26" s="210"/>
      <c r="D26" s="290"/>
      <c r="E26" s="210"/>
      <c r="F26" s="210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</row>
    <row r="27" spans="1:38" hidden="1" x14ac:dyDescent="0.3"/>
    <row r="28" spans="1:38" hidden="1" x14ac:dyDescent="0.3"/>
    <row r="29" spans="1:38" ht="15" thickBot="1" x14ac:dyDescent="0.35"/>
    <row r="30" spans="1:38" ht="15" thickBot="1" x14ac:dyDescent="0.35">
      <c r="A30" s="110" t="s">
        <v>119</v>
      </c>
      <c r="B30" s="110" t="s">
        <v>185</v>
      </c>
      <c r="C30" s="110" t="s">
        <v>1</v>
      </c>
      <c r="D30" s="110" t="s">
        <v>154</v>
      </c>
      <c r="E30" s="110" t="s">
        <v>155</v>
      </c>
      <c r="F30" s="110" t="s">
        <v>156</v>
      </c>
    </row>
    <row r="31" spans="1:38" s="193" customFormat="1" ht="30.45" customHeight="1" thickBot="1" x14ac:dyDescent="0.35">
      <c r="A31" s="389" t="s">
        <v>127</v>
      </c>
      <c r="B31" s="389" t="s">
        <v>64</v>
      </c>
      <c r="C31" s="390" t="s">
        <v>175</v>
      </c>
      <c r="D31" s="391">
        <f>46701461.91-15000000</f>
        <v>31701461.909999996</v>
      </c>
      <c r="E31" s="391">
        <v>25000000</v>
      </c>
      <c r="F31" s="389"/>
      <c r="G31" s="95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</row>
    <row r="32" spans="1:38" s="58" customFormat="1" ht="29.4" thickBot="1" x14ac:dyDescent="0.35">
      <c r="A32" s="392" t="s">
        <v>129</v>
      </c>
      <c r="B32" s="392" t="s">
        <v>64</v>
      </c>
      <c r="C32" s="393" t="s">
        <v>175</v>
      </c>
      <c r="D32" s="391">
        <f>42533884.09-15000000</f>
        <v>27533884.090000004</v>
      </c>
      <c r="E32" s="391">
        <v>28858981.359999999</v>
      </c>
      <c r="F32" s="392"/>
      <c r="G32" s="95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s="58" customFormat="1" ht="29.4" thickBot="1" x14ac:dyDescent="0.35">
      <c r="A33" s="392" t="s">
        <v>128</v>
      </c>
      <c r="B33" s="392" t="s">
        <v>64</v>
      </c>
      <c r="C33" s="393" t="s">
        <v>175</v>
      </c>
      <c r="D33" s="391">
        <f>41392865.45-10000000</f>
        <v>31392865.450000003</v>
      </c>
      <c r="E33" s="391">
        <v>19141018.640000001</v>
      </c>
      <c r="F33" s="392"/>
      <c r="G33" s="9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 s="58" customFormat="1" ht="29.4" thickBot="1" x14ac:dyDescent="0.35">
      <c r="A34" s="392" t="s">
        <v>130</v>
      </c>
      <c r="B34" s="392" t="s">
        <v>64</v>
      </c>
      <c r="C34" s="393" t="s">
        <v>175</v>
      </c>
      <c r="D34" s="391">
        <f>32199562.58-15000000</f>
        <v>17199562.579999998</v>
      </c>
      <c r="E34" s="391">
        <v>20000000</v>
      </c>
      <c r="F34" s="392"/>
      <c r="G34" s="9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s="58" customFormat="1" ht="34.950000000000003" customHeight="1" thickBot="1" x14ac:dyDescent="0.35">
      <c r="A35" s="392" t="s">
        <v>131</v>
      </c>
      <c r="B35" s="392" t="s">
        <v>64</v>
      </c>
      <c r="C35" s="393" t="s">
        <v>175</v>
      </c>
      <c r="D35" s="391">
        <f>39931312-9459086.03</f>
        <v>30472225.969999999</v>
      </c>
      <c r="E35" s="391">
        <v>19459086.030000001</v>
      </c>
      <c r="F35" s="392"/>
      <c r="G35" s="9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s="326" customFormat="1" ht="46.95" customHeight="1" thickBot="1" x14ac:dyDescent="0.35">
      <c r="A36" s="389" t="s">
        <v>188</v>
      </c>
      <c r="B36" s="389" t="s">
        <v>64</v>
      </c>
      <c r="C36" s="390" t="s">
        <v>189</v>
      </c>
      <c r="D36" s="391">
        <f>49000000-10000000</f>
        <v>39000000</v>
      </c>
      <c r="E36" s="391">
        <f>15000000+5151914</f>
        <v>20151914</v>
      </c>
      <c r="F36" s="389"/>
      <c r="G36" s="95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</row>
    <row r="37" spans="1:38" s="326" customFormat="1" ht="33.450000000000003" customHeight="1" thickBot="1" x14ac:dyDescent="0.35">
      <c r="A37" s="389" t="s">
        <v>197</v>
      </c>
      <c r="B37" s="389" t="s">
        <v>64</v>
      </c>
      <c r="C37" s="390" t="s">
        <v>189</v>
      </c>
      <c r="D37" s="391">
        <v>20000000</v>
      </c>
      <c r="E37" s="391">
        <v>0</v>
      </c>
      <c r="F37" s="389"/>
      <c r="G37" s="95"/>
      <c r="H37" s="366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2"/>
      <c r="AK37" s="192"/>
      <c r="AL37" s="192"/>
    </row>
    <row r="38" spans="1:38" s="193" customFormat="1" ht="19.5" customHeight="1" thickBot="1" x14ac:dyDescent="0.35">
      <c r="A38" s="457" t="s">
        <v>132</v>
      </c>
      <c r="B38" s="458"/>
      <c r="C38" s="459"/>
      <c r="D38" s="313">
        <f>SUM(D31:D35)</f>
        <v>138300000</v>
      </c>
      <c r="E38" s="313">
        <f>SUM(E31:E37)</f>
        <v>132611000.03</v>
      </c>
      <c r="F38" s="296"/>
      <c r="G38" s="363"/>
      <c r="H38" s="36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</row>
    <row r="39" spans="1:38" s="193" customFormat="1" ht="19.5" customHeight="1" thickBot="1" x14ac:dyDescent="0.35">
      <c r="A39" s="362" t="s">
        <v>240</v>
      </c>
      <c r="B39" s="296"/>
      <c r="C39" s="362"/>
      <c r="D39" s="313">
        <f>D38+D15+D13+D10</f>
        <v>204872950</v>
      </c>
      <c r="E39" s="313">
        <f>E38+E15+E13+E10</f>
        <v>198184850.03</v>
      </c>
      <c r="F39" s="296"/>
      <c r="G39" s="363"/>
      <c r="H39" s="36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</row>
    <row r="40" spans="1:38" ht="25.5" customHeight="1" thickBot="1" x14ac:dyDescent="0.35">
      <c r="C40" s="360"/>
      <c r="D40" s="361"/>
      <c r="F40" s="360"/>
      <c r="G40" s="87"/>
      <c r="H40" s="87"/>
    </row>
    <row r="41" spans="1:38" s="408" customFormat="1" ht="31.5" customHeight="1" thickBot="1" x14ac:dyDescent="0.35">
      <c r="A41" s="403" t="s">
        <v>236</v>
      </c>
      <c r="B41" s="403" t="s">
        <v>139</v>
      </c>
      <c r="C41" s="404" t="s">
        <v>189</v>
      </c>
      <c r="D41" s="405"/>
      <c r="E41" s="403"/>
      <c r="F41" s="403"/>
      <c r="G41" s="406"/>
      <c r="H41" s="407"/>
      <c r="I41" s="407"/>
      <c r="J41" s="407"/>
      <c r="K41" s="407"/>
      <c r="L41" s="407"/>
      <c r="M41" s="407"/>
      <c r="N41" s="407"/>
      <c r="O41" s="407"/>
      <c r="P41" s="407"/>
      <c r="Q41" s="407"/>
      <c r="R41" s="407"/>
      <c r="S41" s="407"/>
      <c r="T41" s="407"/>
      <c r="U41" s="407"/>
      <c r="V41" s="407"/>
      <c r="W41" s="407"/>
      <c r="X41" s="407"/>
      <c r="Y41" s="407"/>
      <c r="Z41" s="407"/>
      <c r="AA41" s="407"/>
      <c r="AB41" s="407"/>
      <c r="AC41" s="407"/>
      <c r="AD41" s="407"/>
      <c r="AE41" s="407"/>
      <c r="AF41" s="407"/>
      <c r="AG41" s="407"/>
      <c r="AH41" s="407"/>
      <c r="AI41" s="407"/>
      <c r="AJ41" s="407"/>
      <c r="AK41" s="407"/>
      <c r="AL41" s="407"/>
    </row>
    <row r="42" spans="1:38" s="349" customFormat="1" ht="37.950000000000003" customHeight="1" thickBot="1" x14ac:dyDescent="0.35">
      <c r="A42" s="334" t="s">
        <v>235</v>
      </c>
      <c r="B42" s="334" t="s">
        <v>139</v>
      </c>
      <c r="C42" s="387" t="s">
        <v>189</v>
      </c>
      <c r="D42" s="388">
        <v>500000</v>
      </c>
      <c r="E42" s="334"/>
      <c r="F42" s="334"/>
      <c r="G42" s="365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192"/>
    </row>
    <row r="43" spans="1:38" s="408" customFormat="1" ht="60.45" customHeight="1" thickBot="1" x14ac:dyDescent="0.35">
      <c r="A43" s="403" t="s">
        <v>195</v>
      </c>
      <c r="B43" s="403" t="s">
        <v>139</v>
      </c>
      <c r="C43" s="404" t="s">
        <v>193</v>
      </c>
      <c r="D43" s="405"/>
      <c r="E43" s="403"/>
      <c r="F43" s="403"/>
      <c r="G43" s="409"/>
      <c r="H43" s="407"/>
      <c r="I43" s="407"/>
      <c r="J43" s="407"/>
      <c r="K43" s="407"/>
      <c r="L43" s="407"/>
      <c r="M43" s="407"/>
      <c r="N43" s="407"/>
      <c r="O43" s="407"/>
      <c r="P43" s="407"/>
      <c r="Q43" s="407"/>
      <c r="R43" s="407"/>
      <c r="S43" s="407"/>
      <c r="T43" s="407"/>
      <c r="U43" s="407"/>
      <c r="V43" s="407"/>
      <c r="W43" s="407"/>
      <c r="X43" s="407"/>
      <c r="Y43" s="407"/>
      <c r="Z43" s="407"/>
      <c r="AA43" s="407"/>
      <c r="AB43" s="407"/>
      <c r="AC43" s="407"/>
      <c r="AD43" s="407"/>
      <c r="AE43" s="407"/>
      <c r="AF43" s="407"/>
      <c r="AG43" s="407"/>
      <c r="AH43" s="407"/>
      <c r="AI43" s="407"/>
      <c r="AJ43" s="407"/>
      <c r="AK43" s="407"/>
      <c r="AL43" s="407"/>
    </row>
    <row r="44" spans="1:38" s="326" customFormat="1" ht="15" thickBot="1" x14ac:dyDescent="0.35">
      <c r="A44" s="333" t="s">
        <v>210</v>
      </c>
      <c r="B44" s="334" t="s">
        <v>139</v>
      </c>
      <c r="C44" s="337" t="s">
        <v>194</v>
      </c>
      <c r="D44" s="335">
        <v>106661.99</v>
      </c>
      <c r="E44" s="328"/>
      <c r="F44" s="328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</row>
    <row r="45" spans="1:38" s="326" customFormat="1" ht="15" thickBot="1" x14ac:dyDescent="0.35">
      <c r="A45" s="333" t="s">
        <v>211</v>
      </c>
      <c r="B45" s="334" t="s">
        <v>139</v>
      </c>
      <c r="C45" s="337" t="s">
        <v>194</v>
      </c>
      <c r="D45" s="335">
        <v>561200</v>
      </c>
      <c r="E45" s="328"/>
      <c r="F45" s="328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</row>
    <row r="46" spans="1:38" s="326" customFormat="1" ht="15" thickBot="1" x14ac:dyDescent="0.35">
      <c r="A46" s="333" t="s">
        <v>212</v>
      </c>
      <c r="B46" s="334" t="s">
        <v>139</v>
      </c>
      <c r="C46" s="337" t="s">
        <v>194</v>
      </c>
      <c r="D46" s="335">
        <v>165600</v>
      </c>
      <c r="E46" s="328"/>
      <c r="F46" s="328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2"/>
      <c r="AK46" s="192"/>
      <c r="AL46" s="192"/>
    </row>
    <row r="47" spans="1:38" s="326" customFormat="1" ht="15" thickBot="1" x14ac:dyDescent="0.35">
      <c r="A47" s="333" t="s">
        <v>213</v>
      </c>
      <c r="B47" s="334" t="s">
        <v>139</v>
      </c>
      <c r="C47" s="337" t="s">
        <v>194</v>
      </c>
      <c r="D47" s="335">
        <v>252885</v>
      </c>
      <c r="E47" s="328"/>
      <c r="F47" s="328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92"/>
      <c r="AK47" s="192"/>
      <c r="AL47" s="192"/>
    </row>
    <row r="48" spans="1:38" s="326" customFormat="1" ht="19.5" customHeight="1" thickBot="1" x14ac:dyDescent="0.35">
      <c r="A48" s="328" t="s">
        <v>200</v>
      </c>
      <c r="B48" s="328" t="s">
        <v>139</v>
      </c>
      <c r="C48" s="338" t="s">
        <v>199</v>
      </c>
      <c r="D48" s="336">
        <v>1500000</v>
      </c>
      <c r="E48" s="328"/>
      <c r="F48" s="328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192"/>
      <c r="AI48" s="192"/>
      <c r="AJ48" s="192"/>
      <c r="AK48" s="192"/>
      <c r="AL48" s="192"/>
    </row>
    <row r="49" spans="1:38" ht="31.05" customHeight="1" x14ac:dyDescent="0.3">
      <c r="A49" s="123" t="s">
        <v>191</v>
      </c>
      <c r="B49" s="123" t="s">
        <v>139</v>
      </c>
      <c r="C49" s="113" t="s">
        <v>192</v>
      </c>
      <c r="D49" s="26">
        <v>1500000</v>
      </c>
      <c r="E49" s="123"/>
      <c r="F49" s="123"/>
    </row>
    <row r="50" spans="1:38" ht="24" customHeight="1" x14ac:dyDescent="0.3">
      <c r="A50" s="123" t="s">
        <v>201</v>
      </c>
      <c r="B50" s="123" t="s">
        <v>139</v>
      </c>
      <c r="C50" s="114" t="s">
        <v>192</v>
      </c>
      <c r="D50" s="26">
        <v>800000</v>
      </c>
      <c r="E50" s="123"/>
      <c r="F50" s="123"/>
    </row>
    <row r="51" spans="1:38" s="308" customFormat="1" ht="28.8" x14ac:dyDescent="0.3">
      <c r="A51" s="331" t="s">
        <v>218</v>
      </c>
      <c r="B51" s="331" t="s">
        <v>139</v>
      </c>
      <c r="C51" s="237" t="s">
        <v>175</v>
      </c>
      <c r="D51" s="332">
        <v>2500000</v>
      </c>
      <c r="E51" s="331"/>
      <c r="F51" s="331"/>
      <c r="G51" s="310"/>
      <c r="H51" s="310"/>
      <c r="I51" s="310"/>
      <c r="J51" s="310"/>
      <c r="K51" s="310"/>
      <c r="L51" s="310"/>
      <c r="M51" s="310"/>
      <c r="N51" s="310"/>
      <c r="O51" s="310"/>
      <c r="P51" s="310"/>
      <c r="Q51" s="310"/>
      <c r="R51" s="310"/>
      <c r="S51" s="310"/>
      <c r="T51" s="310"/>
      <c r="U51" s="310"/>
      <c r="V51" s="310"/>
      <c r="W51" s="310"/>
      <c r="X51" s="310"/>
      <c r="Y51" s="310"/>
      <c r="Z51" s="310"/>
      <c r="AA51" s="310"/>
      <c r="AB51" s="310"/>
      <c r="AC51" s="310"/>
      <c r="AD51" s="310"/>
      <c r="AE51" s="310"/>
      <c r="AF51" s="310"/>
      <c r="AG51" s="310"/>
      <c r="AH51" s="310"/>
      <c r="AI51" s="310"/>
      <c r="AJ51" s="310"/>
      <c r="AK51" s="310"/>
      <c r="AL51" s="310"/>
    </row>
    <row r="52" spans="1:38" s="308" customFormat="1" x14ac:dyDescent="0.3">
      <c r="A52" s="331" t="s">
        <v>219</v>
      </c>
      <c r="B52" s="331" t="s">
        <v>139</v>
      </c>
      <c r="C52" s="237" t="s">
        <v>175</v>
      </c>
      <c r="D52" s="332">
        <v>1000000</v>
      </c>
      <c r="E52" s="331"/>
      <c r="F52" s="331"/>
      <c r="G52" s="310"/>
      <c r="H52" s="310"/>
      <c r="I52" s="310"/>
      <c r="J52" s="310"/>
      <c r="K52" s="310"/>
      <c r="L52" s="310"/>
      <c r="M52" s="310"/>
      <c r="N52" s="310"/>
      <c r="O52" s="310"/>
      <c r="P52" s="310"/>
      <c r="Q52" s="310"/>
      <c r="R52" s="310"/>
      <c r="S52" s="310"/>
      <c r="T52" s="310"/>
      <c r="U52" s="310"/>
      <c r="V52" s="310"/>
      <c r="W52" s="310"/>
      <c r="X52" s="310"/>
      <c r="Y52" s="310"/>
      <c r="Z52" s="310"/>
      <c r="AA52" s="310"/>
      <c r="AB52" s="310"/>
      <c r="AC52" s="310"/>
      <c r="AD52" s="310"/>
      <c r="AE52" s="310"/>
      <c r="AF52" s="310"/>
      <c r="AG52" s="310"/>
      <c r="AH52" s="310"/>
      <c r="AI52" s="310"/>
      <c r="AJ52" s="310"/>
      <c r="AK52" s="310"/>
      <c r="AL52" s="310"/>
    </row>
    <row r="53" spans="1:38" s="308" customFormat="1" x14ac:dyDescent="0.3">
      <c r="A53" s="331" t="s">
        <v>220</v>
      </c>
      <c r="B53" s="331" t="s">
        <v>139</v>
      </c>
      <c r="C53" s="237" t="s">
        <v>175</v>
      </c>
      <c r="D53" s="332">
        <v>500000</v>
      </c>
      <c r="E53" s="331"/>
      <c r="F53" s="331"/>
      <c r="G53" s="310"/>
      <c r="H53" s="310"/>
      <c r="I53" s="310"/>
      <c r="J53" s="310"/>
      <c r="K53" s="310"/>
      <c r="L53" s="310"/>
      <c r="M53" s="310"/>
      <c r="N53" s="310"/>
      <c r="O53" s="310"/>
      <c r="P53" s="310"/>
      <c r="Q53" s="310"/>
      <c r="R53" s="310"/>
      <c r="S53" s="310"/>
      <c r="T53" s="310"/>
      <c r="U53" s="310"/>
      <c r="V53" s="310"/>
      <c r="W53" s="310"/>
      <c r="X53" s="310"/>
      <c r="Y53" s="310"/>
      <c r="Z53" s="310"/>
      <c r="AA53" s="310"/>
      <c r="AB53" s="310"/>
      <c r="AC53" s="310"/>
      <c r="AD53" s="310"/>
      <c r="AE53" s="310"/>
      <c r="AF53" s="310"/>
      <c r="AG53" s="310"/>
      <c r="AH53" s="310"/>
      <c r="AI53" s="310"/>
      <c r="AJ53" s="310"/>
      <c r="AK53" s="310"/>
      <c r="AL53" s="310"/>
    </row>
    <row r="54" spans="1:38" ht="28.8" x14ac:dyDescent="0.3">
      <c r="A54" s="329" t="s">
        <v>179</v>
      </c>
      <c r="B54" s="123" t="s">
        <v>139</v>
      </c>
      <c r="C54" s="114" t="s">
        <v>180</v>
      </c>
      <c r="D54" s="291">
        <f>5000000+1200000+1200000</f>
        <v>7400000</v>
      </c>
      <c r="E54" s="286">
        <v>5000000</v>
      </c>
      <c r="F54" s="123"/>
    </row>
    <row r="55" spans="1:38" ht="28.05" customHeight="1" x14ac:dyDescent="0.3">
      <c r="A55" s="123" t="s">
        <v>161</v>
      </c>
      <c r="B55" s="123" t="s">
        <v>139</v>
      </c>
      <c r="C55" s="114" t="s">
        <v>135</v>
      </c>
      <c r="D55" s="291">
        <v>500000</v>
      </c>
      <c r="E55" s="123"/>
      <c r="F55" s="123"/>
    </row>
    <row r="56" spans="1:38" ht="21" customHeight="1" x14ac:dyDescent="0.3">
      <c r="A56" s="123" t="s">
        <v>138</v>
      </c>
      <c r="B56" s="286" t="s">
        <v>139</v>
      </c>
      <c r="C56" s="123" t="s">
        <v>135</v>
      </c>
      <c r="E56" s="291">
        <v>1800000</v>
      </c>
      <c r="F56" s="286"/>
    </row>
    <row r="57" spans="1:38" s="308" customFormat="1" ht="28.8" x14ac:dyDescent="0.3">
      <c r="A57" s="331" t="s">
        <v>217</v>
      </c>
      <c r="B57" s="370" t="s">
        <v>139</v>
      </c>
      <c r="C57" s="331" t="s">
        <v>135</v>
      </c>
      <c r="D57" s="332">
        <v>1000000</v>
      </c>
      <c r="E57" s="370"/>
      <c r="F57" s="370"/>
      <c r="G57" s="310"/>
      <c r="H57" s="310"/>
      <c r="I57" s="310"/>
      <c r="J57" s="310"/>
      <c r="K57" s="310"/>
      <c r="L57" s="310"/>
      <c r="M57" s="310"/>
      <c r="N57" s="310"/>
      <c r="O57" s="310"/>
      <c r="P57" s="310"/>
      <c r="Q57" s="310"/>
      <c r="R57" s="310"/>
      <c r="S57" s="310"/>
      <c r="T57" s="310"/>
      <c r="U57" s="310"/>
      <c r="V57" s="310"/>
      <c r="W57" s="310"/>
      <c r="X57" s="310"/>
      <c r="Y57" s="310"/>
      <c r="Z57" s="310"/>
      <c r="AA57" s="310"/>
      <c r="AB57" s="310"/>
      <c r="AC57" s="310"/>
      <c r="AD57" s="310"/>
      <c r="AE57" s="310"/>
      <c r="AF57" s="310"/>
      <c r="AG57" s="310"/>
      <c r="AH57" s="310"/>
      <c r="AI57" s="310"/>
      <c r="AJ57" s="310"/>
      <c r="AK57" s="310"/>
      <c r="AL57" s="310"/>
    </row>
    <row r="58" spans="1:38" ht="26.55" customHeight="1" x14ac:dyDescent="0.3">
      <c r="A58" s="123" t="s">
        <v>137</v>
      </c>
      <c r="B58" s="286" t="s">
        <v>140</v>
      </c>
      <c r="C58" s="123" t="s">
        <v>135</v>
      </c>
      <c r="D58" s="291">
        <v>1200000</v>
      </c>
      <c r="E58" s="286"/>
      <c r="F58" s="286"/>
    </row>
    <row r="59" spans="1:38" ht="27.45" customHeight="1" x14ac:dyDescent="0.3">
      <c r="A59" s="123" t="s">
        <v>123</v>
      </c>
      <c r="B59" s="286" t="s">
        <v>140</v>
      </c>
      <c r="C59" s="123" t="s">
        <v>184</v>
      </c>
      <c r="D59" s="291">
        <v>100000</v>
      </c>
      <c r="E59" s="286"/>
      <c r="F59" s="286"/>
    </row>
    <row r="60" spans="1:38" ht="27" customHeight="1" x14ac:dyDescent="0.3">
      <c r="A60" s="123" t="s">
        <v>124</v>
      </c>
      <c r="B60" s="286" t="s">
        <v>140</v>
      </c>
      <c r="C60" s="123" t="s">
        <v>184</v>
      </c>
      <c r="D60" s="291">
        <v>200000</v>
      </c>
      <c r="E60" s="286"/>
      <c r="F60" s="286"/>
    </row>
    <row r="61" spans="1:38" s="308" customFormat="1" ht="28.95" customHeight="1" x14ac:dyDescent="0.3">
      <c r="A61" s="331" t="s">
        <v>125</v>
      </c>
      <c r="B61" s="370" t="s">
        <v>140</v>
      </c>
      <c r="C61" s="331" t="s">
        <v>184</v>
      </c>
      <c r="D61" s="332">
        <v>1500000</v>
      </c>
      <c r="E61" s="370"/>
      <c r="F61" s="370"/>
      <c r="G61" s="310"/>
      <c r="H61" s="310"/>
      <c r="I61" s="310"/>
      <c r="J61" s="310"/>
      <c r="K61" s="310"/>
      <c r="L61" s="310"/>
      <c r="M61" s="310"/>
      <c r="N61" s="310"/>
      <c r="O61" s="310"/>
      <c r="P61" s="310"/>
      <c r="Q61" s="310"/>
      <c r="R61" s="310"/>
      <c r="S61" s="310"/>
      <c r="T61" s="310"/>
      <c r="U61" s="310"/>
      <c r="V61" s="310"/>
      <c r="W61" s="310"/>
      <c r="X61" s="310"/>
      <c r="Y61" s="310"/>
      <c r="Z61" s="310"/>
      <c r="AA61" s="310"/>
      <c r="AB61" s="310"/>
      <c r="AC61" s="310"/>
      <c r="AD61" s="310"/>
      <c r="AE61" s="310"/>
      <c r="AF61" s="310"/>
      <c r="AG61" s="310"/>
      <c r="AH61" s="310"/>
      <c r="AI61" s="310"/>
      <c r="AJ61" s="310"/>
      <c r="AK61" s="310"/>
      <c r="AL61" s="310"/>
    </row>
    <row r="62" spans="1:38" ht="32.549999999999997" customHeight="1" x14ac:dyDescent="0.3">
      <c r="A62" s="123" t="s">
        <v>126</v>
      </c>
      <c r="B62" s="286" t="s">
        <v>140</v>
      </c>
      <c r="C62" s="123" t="s">
        <v>184</v>
      </c>
      <c r="D62" s="291">
        <v>500000</v>
      </c>
      <c r="E62" s="286"/>
      <c r="F62" s="286"/>
    </row>
    <row r="63" spans="1:38" x14ac:dyDescent="0.3">
      <c r="A63" s="123" t="s">
        <v>150</v>
      </c>
      <c r="B63" s="286" t="s">
        <v>140</v>
      </c>
      <c r="C63" s="123" t="s">
        <v>153</v>
      </c>
      <c r="D63" s="291">
        <v>1500000</v>
      </c>
      <c r="E63" s="286"/>
      <c r="F63" s="286"/>
    </row>
    <row r="64" spans="1:38" ht="34.5" customHeight="1" x14ac:dyDescent="0.3">
      <c r="A64" s="123" t="s">
        <v>151</v>
      </c>
      <c r="B64" s="286" t="s">
        <v>140</v>
      </c>
      <c r="C64" s="123" t="s">
        <v>153</v>
      </c>
      <c r="D64" s="291">
        <v>110000</v>
      </c>
      <c r="E64" s="286"/>
      <c r="F64" s="286"/>
    </row>
    <row r="65" spans="1:6" ht="19.95" customHeight="1" x14ac:dyDescent="0.3">
      <c r="A65" s="123" t="s">
        <v>152</v>
      </c>
      <c r="B65" s="286" t="s">
        <v>140</v>
      </c>
      <c r="C65" s="123" t="s">
        <v>153</v>
      </c>
      <c r="D65" s="291">
        <v>220000</v>
      </c>
      <c r="E65" s="286"/>
      <c r="F65" s="286"/>
    </row>
    <row r="66" spans="1:6" x14ac:dyDescent="0.3">
      <c r="A66" s="123" t="s">
        <v>146</v>
      </c>
      <c r="B66" s="286" t="s">
        <v>140</v>
      </c>
      <c r="C66" s="123" t="s">
        <v>148</v>
      </c>
      <c r="D66" s="291">
        <v>3500000</v>
      </c>
      <c r="E66" s="286">
        <v>3500000</v>
      </c>
      <c r="F66" s="286"/>
    </row>
    <row r="67" spans="1:6" x14ac:dyDescent="0.3">
      <c r="A67" s="123" t="s">
        <v>149</v>
      </c>
      <c r="B67" s="286" t="s">
        <v>140</v>
      </c>
      <c r="C67" s="123" t="s">
        <v>148</v>
      </c>
      <c r="D67" s="291">
        <v>500000</v>
      </c>
      <c r="E67" s="286">
        <v>500000</v>
      </c>
      <c r="F67" s="286">
        <v>500000</v>
      </c>
    </row>
    <row r="68" spans="1:6" x14ac:dyDescent="0.3">
      <c r="A68" s="123" t="s">
        <v>147</v>
      </c>
      <c r="B68" s="286" t="s">
        <v>140</v>
      </c>
      <c r="C68" s="123" t="s">
        <v>148</v>
      </c>
      <c r="D68" s="291">
        <v>300000</v>
      </c>
      <c r="E68" s="286">
        <v>300000</v>
      </c>
      <c r="F68" s="286">
        <v>300000</v>
      </c>
    </row>
    <row r="69" spans="1:6" s="5" customFormat="1" ht="43.05" customHeight="1" x14ac:dyDescent="0.3">
      <c r="A69" s="379" t="s">
        <v>157</v>
      </c>
      <c r="B69" s="380" t="s">
        <v>140</v>
      </c>
      <c r="C69" s="381" t="s">
        <v>158</v>
      </c>
      <c r="D69" s="380">
        <v>1000000</v>
      </c>
      <c r="E69" s="382"/>
      <c r="F69" s="382"/>
    </row>
    <row r="70" spans="1:6" s="5" customFormat="1" ht="22.05" customHeight="1" x14ac:dyDescent="0.3">
      <c r="A70" s="383" t="s">
        <v>159</v>
      </c>
      <c r="B70" s="382" t="s">
        <v>140</v>
      </c>
      <c r="C70" s="384" t="s">
        <v>158</v>
      </c>
      <c r="D70" s="380">
        <v>500000</v>
      </c>
      <c r="E70" s="382"/>
      <c r="F70" s="382"/>
    </row>
    <row r="71" spans="1:6" s="5" customFormat="1" ht="28.8" x14ac:dyDescent="0.3">
      <c r="A71" s="383" t="s">
        <v>202</v>
      </c>
      <c r="B71" s="382" t="s">
        <v>140</v>
      </c>
      <c r="C71" s="384" t="s">
        <v>158</v>
      </c>
      <c r="D71" s="380">
        <v>1000000</v>
      </c>
      <c r="E71" s="382"/>
      <c r="F71" s="382"/>
    </row>
    <row r="72" spans="1:6" s="5" customFormat="1" ht="25.05" hidden="1" customHeight="1" x14ac:dyDescent="0.3">
      <c r="A72" s="385" t="s">
        <v>160</v>
      </c>
      <c r="B72" s="382" t="s">
        <v>140</v>
      </c>
      <c r="C72" s="384" t="s">
        <v>158</v>
      </c>
      <c r="D72" s="386"/>
      <c r="E72" s="119"/>
      <c r="F72" s="119"/>
    </row>
    <row r="73" spans="1:6" s="5" customFormat="1" ht="19.95" customHeight="1" x14ac:dyDescent="0.3">
      <c r="A73" s="383" t="s">
        <v>117</v>
      </c>
      <c r="B73" s="382" t="s">
        <v>140</v>
      </c>
      <c r="C73" s="384" t="s">
        <v>116</v>
      </c>
      <c r="D73" s="380">
        <v>50000</v>
      </c>
      <c r="E73" s="382"/>
      <c r="F73" s="382"/>
    </row>
    <row r="74" spans="1:6" s="5" customFormat="1" ht="19.95" customHeight="1" x14ac:dyDescent="0.3">
      <c r="A74" s="295" t="s">
        <v>118</v>
      </c>
      <c r="B74" s="286" t="s">
        <v>140</v>
      </c>
      <c r="C74" s="123" t="s">
        <v>116</v>
      </c>
      <c r="D74" s="291">
        <v>50000</v>
      </c>
      <c r="E74" s="286"/>
      <c r="F74" s="286"/>
    </row>
    <row r="75" spans="1:6" s="5" customFormat="1" ht="26.55" customHeight="1" x14ac:dyDescent="0.3">
      <c r="A75" s="295" t="s">
        <v>215</v>
      </c>
      <c r="B75" s="286" t="s">
        <v>140</v>
      </c>
      <c r="C75" s="123" t="s">
        <v>216</v>
      </c>
      <c r="D75" s="291">
        <f>140000*4</f>
        <v>560000</v>
      </c>
      <c r="E75" s="286"/>
      <c r="F75" s="286"/>
    </row>
    <row r="76" spans="1:6" s="5" customFormat="1" ht="19.5" customHeight="1" thickBot="1" x14ac:dyDescent="0.35">
      <c r="A76" s="126"/>
      <c r="B76" s="287"/>
      <c r="C76" s="126"/>
      <c r="D76" s="330">
        <f>SUM(D41:D75)</f>
        <v>31076346.990000002</v>
      </c>
      <c r="E76" s="330">
        <f t="shared" ref="E76" si="0">SUM(E41:E75)</f>
        <v>11100000</v>
      </c>
      <c r="F76" s="330">
        <f>SUM(F41:F75)</f>
        <v>800000</v>
      </c>
    </row>
    <row r="77" spans="1:6" s="5" customFormat="1" ht="19.95" customHeight="1" x14ac:dyDescent="0.3">
      <c r="A77" s="300"/>
      <c r="B77" s="302"/>
      <c r="C77" s="300"/>
      <c r="D77" s="301"/>
      <c r="E77" s="302"/>
      <c r="F77" s="302"/>
    </row>
    <row r="78" spans="1:6" s="5" customFormat="1" ht="19.5" customHeight="1" thickBot="1" x14ac:dyDescent="0.35">
      <c r="A78" s="126" t="s">
        <v>239</v>
      </c>
      <c r="B78" s="287"/>
      <c r="C78" s="126"/>
      <c r="D78" s="330">
        <f>D38+D15+D13+D10+D76</f>
        <v>235949296.99000001</v>
      </c>
      <c r="E78" s="330">
        <f>E38+E15+E13+E10</f>
        <v>198184850.03</v>
      </c>
      <c r="F78" s="330">
        <f>F76</f>
        <v>800000</v>
      </c>
    </row>
    <row r="79" spans="1:6" s="5" customFormat="1" ht="19.95" customHeight="1" thickBot="1" x14ac:dyDescent="0.35">
      <c r="A79" s="300"/>
      <c r="B79" s="302"/>
      <c r="C79" s="300"/>
      <c r="D79" s="301"/>
      <c r="E79" s="302"/>
      <c r="F79" s="302"/>
    </row>
    <row r="80" spans="1:6" s="5" customFormat="1" ht="22.5" customHeight="1" thickBot="1" x14ac:dyDescent="0.35">
      <c r="A80" s="110" t="s">
        <v>112</v>
      </c>
      <c r="B80" s="110" t="s">
        <v>185</v>
      </c>
      <c r="C80" s="110"/>
      <c r="D80" s="110" t="s">
        <v>154</v>
      </c>
      <c r="E80" s="110" t="s">
        <v>155</v>
      </c>
      <c r="F80" s="110" t="s">
        <v>156</v>
      </c>
    </row>
    <row r="81" spans="1:38" s="5" customFormat="1" ht="19.95" customHeight="1" thickBot="1" x14ac:dyDescent="0.35">
      <c r="A81" s="373" t="s">
        <v>63</v>
      </c>
      <c r="B81" s="374"/>
      <c r="C81" s="373"/>
      <c r="D81" s="375">
        <f>D10</f>
        <v>50160950</v>
      </c>
      <c r="E81" s="375">
        <f>E10</f>
        <v>54361850</v>
      </c>
      <c r="F81" s="375">
        <f>F10</f>
        <v>0</v>
      </c>
    </row>
    <row r="82" spans="1:38" s="5" customFormat="1" ht="15" thickBot="1" x14ac:dyDescent="0.35">
      <c r="A82" s="376" t="s">
        <v>143</v>
      </c>
      <c r="B82" s="377"/>
      <c r="C82" s="376"/>
      <c r="D82" s="378">
        <f>D13</f>
        <v>12412000</v>
      </c>
      <c r="E82" s="378">
        <f t="shared" ref="E82:F82" si="1">E13</f>
        <v>11212000</v>
      </c>
      <c r="F82" s="378">
        <f t="shared" si="1"/>
        <v>0</v>
      </c>
    </row>
    <row r="83" spans="1:38" s="5" customFormat="1" ht="15" thickBot="1" x14ac:dyDescent="0.35">
      <c r="A83" s="376" t="s">
        <v>238</v>
      </c>
      <c r="B83" s="377"/>
      <c r="C83" s="376"/>
      <c r="D83" s="378">
        <f>D15</f>
        <v>4000000</v>
      </c>
      <c r="E83" s="378">
        <f t="shared" ref="E83:F83" si="2">E15</f>
        <v>0</v>
      </c>
      <c r="F83" s="378">
        <f t="shared" si="2"/>
        <v>0</v>
      </c>
    </row>
    <row r="84" spans="1:38" s="5" customFormat="1" ht="15" thickBot="1" x14ac:dyDescent="0.35">
      <c r="A84" s="376" t="s">
        <v>64</v>
      </c>
      <c r="B84" s="377"/>
      <c r="C84" s="376"/>
      <c r="D84" s="378">
        <f>D38</f>
        <v>138300000</v>
      </c>
      <c r="E84" s="378">
        <f t="shared" ref="E84:F84" si="3">E38</f>
        <v>132611000.03</v>
      </c>
      <c r="F84" s="378">
        <f t="shared" si="3"/>
        <v>0</v>
      </c>
    </row>
    <row r="85" spans="1:38" s="5" customFormat="1" ht="15" thickBot="1" x14ac:dyDescent="0.35">
      <c r="A85" s="376" t="s">
        <v>237</v>
      </c>
      <c r="B85" s="377"/>
      <c r="C85" s="376"/>
      <c r="D85" s="378">
        <f>D76</f>
        <v>31076346.990000002</v>
      </c>
      <c r="E85" s="378">
        <f t="shared" ref="E85:F85" si="4">E76</f>
        <v>11100000</v>
      </c>
      <c r="F85" s="378">
        <f t="shared" si="4"/>
        <v>800000</v>
      </c>
    </row>
    <row r="86" spans="1:38" s="210" customFormat="1" ht="15" thickBot="1" x14ac:dyDescent="0.35">
      <c r="A86" s="126" t="s">
        <v>233</v>
      </c>
      <c r="B86" s="287"/>
      <c r="C86" s="126"/>
      <c r="D86" s="330">
        <f>SUM(D81:D85)</f>
        <v>235949296.99000001</v>
      </c>
      <c r="E86" s="330">
        <f t="shared" ref="E86:F86" si="5">SUM(E81:E85)</f>
        <v>209284850.03</v>
      </c>
      <c r="F86" s="330">
        <f t="shared" si="5"/>
        <v>800000</v>
      </c>
      <c r="G86" s="5"/>
      <c r="H86" s="5"/>
      <c r="I86" s="5"/>
      <c r="J86" s="220"/>
      <c r="K86" s="220"/>
      <c r="L86" s="220"/>
      <c r="M86" s="220"/>
      <c r="N86" s="220"/>
      <c r="O86" s="220"/>
      <c r="P86" s="220"/>
      <c r="Q86" s="220"/>
      <c r="R86" s="220"/>
      <c r="S86" s="220"/>
      <c r="T86" s="220"/>
      <c r="U86" s="220"/>
      <c r="V86" s="220"/>
      <c r="W86" s="220"/>
      <c r="X86" s="220"/>
      <c r="Y86" s="220"/>
      <c r="Z86" s="220"/>
      <c r="AA86" s="220"/>
      <c r="AB86" s="220"/>
      <c r="AC86" s="220"/>
      <c r="AD86" s="220"/>
      <c r="AE86" s="220"/>
      <c r="AF86" s="220"/>
      <c r="AG86" s="220"/>
      <c r="AH86" s="220"/>
      <c r="AI86" s="220"/>
      <c r="AJ86" s="220"/>
      <c r="AK86" s="220"/>
      <c r="AL86" s="220"/>
    </row>
    <row r="87" spans="1:38" s="210" customFormat="1" x14ac:dyDescent="0.3">
      <c r="G87" s="5"/>
      <c r="H87" s="5"/>
      <c r="I87" s="5"/>
      <c r="J87" s="220"/>
      <c r="K87" s="220"/>
      <c r="L87" s="220"/>
      <c r="M87" s="220"/>
      <c r="N87" s="220"/>
      <c r="O87" s="220"/>
      <c r="P87" s="220"/>
      <c r="Q87" s="220"/>
      <c r="R87" s="220"/>
      <c r="S87" s="220"/>
      <c r="T87" s="220"/>
      <c r="U87" s="220"/>
      <c r="V87" s="220"/>
      <c r="W87" s="220"/>
      <c r="X87" s="220"/>
      <c r="Y87" s="220"/>
      <c r="Z87" s="220"/>
      <c r="AA87" s="220"/>
      <c r="AB87" s="220"/>
      <c r="AC87" s="220"/>
      <c r="AD87" s="220"/>
      <c r="AE87" s="220"/>
      <c r="AF87" s="220"/>
      <c r="AG87" s="220"/>
      <c r="AH87" s="220"/>
      <c r="AI87" s="220"/>
      <c r="AJ87" s="220"/>
      <c r="AK87" s="220"/>
      <c r="AL87" s="220"/>
    </row>
    <row r="88" spans="1:38" s="210" customFormat="1" x14ac:dyDescent="0.3">
      <c r="G88" s="5"/>
      <c r="H88" s="5"/>
      <c r="I88" s="5"/>
      <c r="J88" s="220"/>
      <c r="K88" s="220"/>
      <c r="L88" s="220"/>
      <c r="M88" s="220"/>
      <c r="N88" s="220"/>
      <c r="O88" s="220"/>
      <c r="P88" s="220"/>
      <c r="Q88" s="220"/>
      <c r="R88" s="220"/>
      <c r="S88" s="220"/>
      <c r="T88" s="220"/>
      <c r="U88" s="220"/>
      <c r="V88" s="220"/>
      <c r="W88" s="220"/>
      <c r="X88" s="220"/>
      <c r="Y88" s="220"/>
      <c r="Z88" s="220"/>
      <c r="AA88" s="220"/>
      <c r="AB88" s="220"/>
      <c r="AC88" s="220"/>
      <c r="AD88" s="220"/>
      <c r="AE88" s="220"/>
      <c r="AF88" s="220"/>
      <c r="AG88" s="220"/>
      <c r="AH88" s="220"/>
      <c r="AI88" s="220"/>
      <c r="AJ88" s="220"/>
      <c r="AK88" s="220"/>
      <c r="AL88" s="220"/>
    </row>
    <row r="89" spans="1:38" s="210" customFormat="1" x14ac:dyDescent="0.3">
      <c r="G89" s="5"/>
      <c r="H89" s="5"/>
      <c r="I89" s="5"/>
      <c r="J89" s="220"/>
      <c r="K89" s="220"/>
      <c r="L89" s="220"/>
      <c r="M89" s="220"/>
      <c r="N89" s="220"/>
      <c r="O89" s="220"/>
      <c r="P89" s="220"/>
      <c r="Q89" s="220"/>
      <c r="R89" s="220"/>
      <c r="S89" s="220"/>
      <c r="T89" s="220"/>
      <c r="U89" s="220"/>
      <c r="V89" s="220"/>
      <c r="W89" s="220"/>
      <c r="X89" s="220"/>
      <c r="Y89" s="220"/>
      <c r="Z89" s="220"/>
      <c r="AA89" s="220"/>
      <c r="AB89" s="220"/>
      <c r="AC89" s="220"/>
      <c r="AD89" s="220"/>
      <c r="AE89" s="220"/>
      <c r="AF89" s="220"/>
      <c r="AG89" s="220"/>
      <c r="AH89" s="220"/>
      <c r="AI89" s="220"/>
      <c r="AJ89" s="220"/>
      <c r="AK89" s="220"/>
      <c r="AL89" s="220"/>
    </row>
    <row r="91" spans="1:38" s="210" customFormat="1" x14ac:dyDescent="0.3">
      <c r="D91" s="306"/>
      <c r="G91" s="5"/>
      <c r="H91" s="5"/>
      <c r="I91" s="5"/>
      <c r="J91" s="220"/>
      <c r="K91" s="220"/>
      <c r="L91" s="220"/>
      <c r="M91" s="220"/>
      <c r="N91" s="220"/>
      <c r="O91" s="220"/>
      <c r="P91" s="220"/>
      <c r="Q91" s="220"/>
      <c r="R91" s="220"/>
      <c r="S91" s="220"/>
      <c r="T91" s="220"/>
      <c r="U91" s="220"/>
      <c r="V91" s="220"/>
      <c r="W91" s="220"/>
      <c r="X91" s="220"/>
      <c r="Y91" s="220"/>
      <c r="Z91" s="220"/>
      <c r="AA91" s="220"/>
      <c r="AB91" s="220"/>
      <c r="AC91" s="220"/>
      <c r="AD91" s="220"/>
      <c r="AE91" s="220"/>
      <c r="AF91" s="220"/>
      <c r="AG91" s="220"/>
      <c r="AH91" s="220"/>
      <c r="AI91" s="220"/>
      <c r="AJ91" s="220"/>
      <c r="AK91" s="220"/>
      <c r="AL91" s="220"/>
    </row>
    <row r="92" spans="1:38" s="210" customFormat="1" x14ac:dyDescent="0.3">
      <c r="D92" s="288"/>
      <c r="G92" s="5"/>
      <c r="H92" s="5"/>
      <c r="I92" s="5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20"/>
      <c r="U92" s="220"/>
      <c r="V92" s="220"/>
      <c r="W92" s="220"/>
      <c r="X92" s="220"/>
      <c r="Y92" s="220"/>
      <c r="Z92" s="220"/>
      <c r="AA92" s="220"/>
      <c r="AB92" s="220"/>
      <c r="AC92" s="220"/>
      <c r="AD92" s="220"/>
      <c r="AE92" s="220"/>
      <c r="AF92" s="220"/>
      <c r="AG92" s="220"/>
      <c r="AH92" s="220"/>
      <c r="AI92" s="220"/>
      <c r="AJ92" s="220"/>
      <c r="AK92" s="220"/>
      <c r="AL92" s="220"/>
    </row>
  </sheetData>
  <mergeCells count="1">
    <mergeCell ref="A38:C38"/>
  </mergeCells>
  <pageMargins left="0.7" right="0.7" top="0.75" bottom="0.75" header="0.3" footer="0.3"/>
  <pageSetup orientation="portrait" horizontalDpi="0" verticalDpi="0" r:id="rId1"/>
  <rowBreaks count="1" manualBreakCount="1">
    <brk id="39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A4977-1DCC-46CD-8F0F-F5C07764EF9C}">
  <dimension ref="A1:G20"/>
  <sheetViews>
    <sheetView topLeftCell="A11" zoomScaleNormal="100" workbookViewId="0">
      <selection activeCell="D23" sqref="D23"/>
    </sheetView>
  </sheetViews>
  <sheetFormatPr defaultRowHeight="14.4" x14ac:dyDescent="0.3"/>
  <cols>
    <col min="1" max="1" width="35.6640625" customWidth="1"/>
    <col min="2" max="2" width="17.5546875" hidden="1" customWidth="1"/>
    <col min="3" max="5" width="18.21875" bestFit="1" customWidth="1"/>
    <col min="6" max="6" width="12.77734375" bestFit="1" customWidth="1"/>
    <col min="7" max="7" width="12.21875" bestFit="1" customWidth="1"/>
  </cols>
  <sheetData>
    <row r="1" spans="1:7" x14ac:dyDescent="0.3">
      <c r="A1" s="418" t="s">
        <v>222</v>
      </c>
      <c r="B1" s="419" t="s">
        <v>223</v>
      </c>
      <c r="C1" s="420" t="s">
        <v>224</v>
      </c>
      <c r="D1" s="420" t="s">
        <v>225</v>
      </c>
      <c r="E1" s="420" t="s">
        <v>241</v>
      </c>
    </row>
    <row r="2" spans="1:7" x14ac:dyDescent="0.3">
      <c r="A2" s="421" t="s">
        <v>226</v>
      </c>
      <c r="B2" s="422">
        <v>241654000</v>
      </c>
      <c r="C2" s="422">
        <v>254203000</v>
      </c>
      <c r="D2" s="422">
        <v>265671000</v>
      </c>
      <c r="E2" s="422">
        <v>277699000</v>
      </c>
    </row>
    <row r="3" spans="1:7" x14ac:dyDescent="0.3">
      <c r="A3" s="423" t="s">
        <v>227</v>
      </c>
      <c r="B3" s="424">
        <f>50425000*5%</f>
        <v>2521250</v>
      </c>
      <c r="C3" s="424">
        <v>2628300</v>
      </c>
      <c r="D3" s="424">
        <v>2848300</v>
      </c>
      <c r="E3" s="424">
        <v>2975900</v>
      </c>
    </row>
    <row r="4" spans="1:7" x14ac:dyDescent="0.3">
      <c r="A4" s="423" t="s">
        <v>228</v>
      </c>
      <c r="B4" s="424">
        <v>1800000</v>
      </c>
      <c r="C4" s="424">
        <v>1900000</v>
      </c>
      <c r="D4" s="424">
        <v>2000000</v>
      </c>
      <c r="E4" s="424">
        <v>2200000</v>
      </c>
    </row>
    <row r="5" spans="1:7" x14ac:dyDescent="0.3">
      <c r="A5" s="423" t="s">
        <v>229</v>
      </c>
      <c r="B5" s="424">
        <v>1311000</v>
      </c>
      <c r="C5" s="424">
        <v>1478000</v>
      </c>
      <c r="D5" s="424">
        <v>0</v>
      </c>
      <c r="E5" s="424">
        <v>0</v>
      </c>
    </row>
    <row r="6" spans="1:7" x14ac:dyDescent="0.3">
      <c r="A6" s="418" t="s">
        <v>230</v>
      </c>
      <c r="B6" s="425">
        <f>SUM(B2:B5)</f>
        <v>247286250</v>
      </c>
      <c r="C6" s="425">
        <f>SUM(C2:C5)</f>
        <v>260209300</v>
      </c>
      <c r="D6" s="425">
        <f>SUM(D2:D5)</f>
        <v>270519300</v>
      </c>
      <c r="E6" s="425">
        <f>SUM(E2:E5)</f>
        <v>282874900</v>
      </c>
    </row>
    <row r="7" spans="1:7" x14ac:dyDescent="0.3">
      <c r="A7" s="423"/>
      <c r="B7" s="424"/>
      <c r="C7" s="424"/>
      <c r="D7" s="424"/>
      <c r="E7" s="424"/>
    </row>
    <row r="8" spans="1:7" x14ac:dyDescent="0.3">
      <c r="A8" s="423" t="s">
        <v>63</v>
      </c>
      <c r="B8" s="424">
        <f>50425000*95%</f>
        <v>47903750</v>
      </c>
      <c r="C8" s="424">
        <v>49937700</v>
      </c>
      <c r="D8" s="424">
        <v>54117700</v>
      </c>
      <c r="E8" s="424">
        <v>56542100</v>
      </c>
    </row>
    <row r="9" spans="1:7" x14ac:dyDescent="0.3">
      <c r="A9" s="423" t="s">
        <v>143</v>
      </c>
      <c r="B9" s="424"/>
      <c r="C9" s="424">
        <v>0</v>
      </c>
      <c r="D9" s="424">
        <v>11212000</v>
      </c>
      <c r="E9" s="424">
        <v>11719000</v>
      </c>
    </row>
    <row r="10" spans="1:7" hidden="1" x14ac:dyDescent="0.3"/>
    <row r="11" spans="1:7" s="58" customFormat="1" x14ac:dyDescent="0.3">
      <c r="A11" s="426" t="s">
        <v>231</v>
      </c>
      <c r="B11" s="424">
        <v>4000000</v>
      </c>
      <c r="C11" s="424">
        <v>4000000</v>
      </c>
      <c r="D11" s="424">
        <v>0</v>
      </c>
      <c r="E11" s="424">
        <v>5000000</v>
      </c>
    </row>
    <row r="12" spans="1:7" s="58" customFormat="1" hidden="1" x14ac:dyDescent="0.3">
      <c r="A12" s="423" t="s">
        <v>64</v>
      </c>
      <c r="B12" s="424">
        <v>39147000</v>
      </c>
      <c r="C12" s="424">
        <v>0</v>
      </c>
      <c r="D12" s="424">
        <v>0</v>
      </c>
      <c r="E12" s="424">
        <v>0</v>
      </c>
    </row>
    <row r="13" spans="1:7" x14ac:dyDescent="0.3">
      <c r="A13" s="423" t="s">
        <v>243</v>
      </c>
      <c r="B13" s="427">
        <v>102954000</v>
      </c>
      <c r="C13" s="427">
        <v>63300000</v>
      </c>
      <c r="D13" s="427">
        <v>77611000</v>
      </c>
      <c r="E13" s="427">
        <v>71992000</v>
      </c>
    </row>
    <row r="14" spans="1:7" x14ac:dyDescent="0.3">
      <c r="A14" s="428" t="s">
        <v>233</v>
      </c>
      <c r="B14" s="429">
        <f>SUM(B8:B13)</f>
        <v>194004750</v>
      </c>
      <c r="C14" s="429">
        <f>SUM(C8:C13)</f>
        <v>117237700</v>
      </c>
      <c r="D14" s="429">
        <f>SUM(D8:D13)</f>
        <v>142940700</v>
      </c>
      <c r="E14" s="429">
        <f>SUM(E8:E13)</f>
        <v>145253100</v>
      </c>
      <c r="F14" s="359"/>
    </row>
    <row r="15" spans="1:7" x14ac:dyDescent="0.3">
      <c r="A15" s="423"/>
      <c r="B15" s="423"/>
      <c r="C15" s="423"/>
      <c r="D15" s="423"/>
      <c r="E15" s="423"/>
      <c r="F15" s="359"/>
      <c r="G15" s="359"/>
    </row>
    <row r="16" spans="1:7" x14ac:dyDescent="0.3">
      <c r="A16" s="420" t="s">
        <v>245</v>
      </c>
      <c r="B16" s="425">
        <f>B6+B14</f>
        <v>441291000</v>
      </c>
      <c r="C16" s="425">
        <f>C14+C6</f>
        <v>377447000</v>
      </c>
      <c r="D16" s="425">
        <f t="shared" ref="D16:E16" si="0">D14+D6</f>
        <v>413460000</v>
      </c>
      <c r="E16" s="425">
        <f t="shared" si="0"/>
        <v>428128000</v>
      </c>
    </row>
    <row r="17" spans="1:5" x14ac:dyDescent="0.3">
      <c r="A17" s="308"/>
      <c r="B17" s="355"/>
      <c r="C17" s="355"/>
      <c r="D17" s="355"/>
    </row>
    <row r="18" spans="1:5" s="308" customFormat="1" x14ac:dyDescent="0.3">
      <c r="A18" s="434" t="s">
        <v>242</v>
      </c>
      <c r="B18" s="435"/>
      <c r="C18" s="435">
        <v>22088000</v>
      </c>
      <c r="D18" s="435">
        <v>24721000</v>
      </c>
      <c r="E18" s="435">
        <v>8988000</v>
      </c>
    </row>
    <row r="20" spans="1:5" x14ac:dyDescent="0.3">
      <c r="A20" s="420" t="s">
        <v>244</v>
      </c>
      <c r="B20" s="425"/>
      <c r="C20" s="425">
        <f>C16+C18</f>
        <v>399535000</v>
      </c>
      <c r="D20" s="425">
        <f t="shared" ref="D20:E20" si="1">D16+D18</f>
        <v>438181000</v>
      </c>
      <c r="E20" s="425">
        <f t="shared" si="1"/>
        <v>437116000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2A61E-C679-4BF1-9DC1-83F1B7C1034D}">
  <sheetPr>
    <tabColor theme="8"/>
  </sheetPr>
  <dimension ref="A1:AL94"/>
  <sheetViews>
    <sheetView tabSelected="1" view="pageBreakPreview" topLeftCell="A52" zoomScale="60" zoomScaleNormal="100" workbookViewId="0">
      <selection activeCell="A42" sqref="A42:F78"/>
    </sheetView>
  </sheetViews>
  <sheetFormatPr defaultRowHeight="14.4" x14ac:dyDescent="0.3"/>
  <cols>
    <col min="1" max="1" width="31.33203125" style="210" customWidth="1"/>
    <col min="2" max="2" width="9.77734375" style="210" customWidth="1"/>
    <col min="3" max="3" width="15.88671875" style="210" hidden="1" customWidth="1"/>
    <col min="4" max="4" width="16.77734375" style="290" customWidth="1"/>
    <col min="5" max="6" width="14.77734375" style="210" bestFit="1" customWidth="1"/>
    <col min="7" max="7" width="13" style="5" customWidth="1"/>
    <col min="8" max="8" width="15.44140625" style="5" bestFit="1" customWidth="1"/>
    <col min="9" max="38" width="8.77734375" style="5"/>
  </cols>
  <sheetData>
    <row r="1" spans="1:7" hidden="1" x14ac:dyDescent="0.3"/>
    <row r="3" spans="1:7" ht="15" thickBot="1" x14ac:dyDescent="0.35">
      <c r="A3" s="1" t="s">
        <v>186</v>
      </c>
    </row>
    <row r="4" spans="1:7" s="5" customFormat="1" ht="22.5" customHeight="1" thickBot="1" x14ac:dyDescent="0.35">
      <c r="A4" s="110" t="s">
        <v>119</v>
      </c>
      <c r="B4" s="110" t="s">
        <v>185</v>
      </c>
      <c r="C4" s="110" t="s">
        <v>1</v>
      </c>
      <c r="D4" s="110" t="s">
        <v>154</v>
      </c>
      <c r="E4" s="110" t="s">
        <v>155</v>
      </c>
      <c r="F4" s="110" t="s">
        <v>156</v>
      </c>
    </row>
    <row r="5" spans="1:7" ht="27" customHeight="1" x14ac:dyDescent="0.3">
      <c r="A5" s="410" t="s">
        <v>183</v>
      </c>
      <c r="B5" s="411" t="s">
        <v>63</v>
      </c>
      <c r="C5" s="412" t="s">
        <v>174</v>
      </c>
      <c r="D5" s="413">
        <f>15000000-3000000</f>
        <v>12000000</v>
      </c>
      <c r="E5" s="413">
        <f>10000000+3000000</f>
        <v>13000000</v>
      </c>
      <c r="F5" s="413">
        <v>15424400</v>
      </c>
    </row>
    <row r="6" spans="1:7" x14ac:dyDescent="0.3">
      <c r="A6" s="237" t="s">
        <v>177</v>
      </c>
      <c r="B6" s="237" t="s">
        <v>63</v>
      </c>
      <c r="C6" s="331" t="s">
        <v>174</v>
      </c>
      <c r="D6" s="414">
        <f>8000000</f>
        <v>8000000</v>
      </c>
      <c r="E6" s="414">
        <v>15000000</v>
      </c>
      <c r="F6" s="414">
        <v>15000000</v>
      </c>
    </row>
    <row r="7" spans="1:7" x14ac:dyDescent="0.3">
      <c r="A7" s="237" t="s">
        <v>178</v>
      </c>
      <c r="B7" s="237" t="s">
        <v>63</v>
      </c>
      <c r="C7" s="331" t="s">
        <v>174</v>
      </c>
      <c r="D7" s="414">
        <f>(18000000-8000000-539050-15000)-135000</f>
        <v>9310950</v>
      </c>
      <c r="E7" s="414">
        <v>14755850</v>
      </c>
      <c r="F7" s="414">
        <v>14755850</v>
      </c>
    </row>
    <row r="8" spans="1:7" x14ac:dyDescent="0.3">
      <c r="A8" s="331" t="s">
        <v>162</v>
      </c>
      <c r="B8" s="370" t="s">
        <v>63</v>
      </c>
      <c r="C8" s="331" t="s">
        <v>174</v>
      </c>
      <c r="D8" s="332">
        <f>16700000-7000000-350000</f>
        <v>9350000</v>
      </c>
      <c r="E8" s="370">
        <f>10000000+1361850</f>
        <v>11361850</v>
      </c>
      <c r="F8" s="430">
        <v>11361850</v>
      </c>
    </row>
    <row r="9" spans="1:7" ht="29.4" thickBot="1" x14ac:dyDescent="0.35">
      <c r="A9" s="415" t="s">
        <v>133</v>
      </c>
      <c r="B9" s="416" t="s">
        <v>63</v>
      </c>
      <c r="C9" s="415" t="s">
        <v>135</v>
      </c>
      <c r="D9" s="417">
        <f>(19500000-8000000)-223250</f>
        <v>11276750</v>
      </c>
      <c r="E9" s="416"/>
      <c r="F9" s="416"/>
      <c r="G9" s="369"/>
    </row>
    <row r="10" spans="1:7" ht="22.5" customHeight="1" thickBot="1" x14ac:dyDescent="0.35">
      <c r="A10" s="110" t="s">
        <v>132</v>
      </c>
      <c r="B10" s="110"/>
      <c r="C10" s="110"/>
      <c r="D10" s="110">
        <f>SUM(D5:D9)</f>
        <v>49937700</v>
      </c>
      <c r="E10" s="110">
        <f>SUM(E5:E9)</f>
        <v>54117700</v>
      </c>
      <c r="F10" s="110">
        <f>SUM(F5:F9)</f>
        <v>56542100</v>
      </c>
      <c r="G10" s="367"/>
    </row>
    <row r="11" spans="1:7" s="5" customFormat="1" ht="22.5" customHeight="1" x14ac:dyDescent="0.3">
      <c r="A11" s="399"/>
      <c r="B11" s="399"/>
      <c r="C11" s="399"/>
      <c r="D11" s="399"/>
      <c r="E11" s="399"/>
      <c r="F11" s="399"/>
      <c r="G11" s="367"/>
    </row>
    <row r="12" spans="1:7" s="5" customFormat="1" ht="9.4499999999999993" customHeight="1" thickBot="1" x14ac:dyDescent="0.35">
      <c r="A12" s="399"/>
      <c r="B12" s="399"/>
      <c r="C12" s="399"/>
      <c r="D12" s="399"/>
      <c r="E12" s="399"/>
      <c r="F12" s="399"/>
      <c r="G12" s="367"/>
    </row>
    <row r="13" spans="1:7" s="5" customFormat="1" ht="22.5" customHeight="1" thickBot="1" x14ac:dyDescent="0.35">
      <c r="A13" s="110" t="s">
        <v>119</v>
      </c>
      <c r="B13" s="110" t="s">
        <v>185</v>
      </c>
      <c r="C13" s="110" t="s">
        <v>1</v>
      </c>
      <c r="D13" s="110" t="s">
        <v>154</v>
      </c>
      <c r="E13" s="110" t="s">
        <v>155</v>
      </c>
      <c r="F13" s="110" t="s">
        <v>156</v>
      </c>
    </row>
    <row r="14" spans="1:7" s="5" customFormat="1" ht="33.450000000000003" customHeight="1" thickBot="1" x14ac:dyDescent="0.35">
      <c r="A14" s="110" t="s">
        <v>141</v>
      </c>
      <c r="B14" s="110" t="s">
        <v>143</v>
      </c>
      <c r="C14" s="110" t="s">
        <v>135</v>
      </c>
      <c r="D14" s="110"/>
      <c r="E14" s="110">
        <v>11212000</v>
      </c>
      <c r="F14" s="110">
        <v>11719000</v>
      </c>
    </row>
    <row r="15" spans="1:7" s="5" customFormat="1" ht="15" thickBot="1" x14ac:dyDescent="0.35">
      <c r="A15" s="123"/>
      <c r="B15" s="286"/>
      <c r="C15" s="123"/>
      <c r="D15" s="291"/>
      <c r="E15" s="286"/>
      <c r="F15" s="286"/>
    </row>
    <row r="16" spans="1:7" s="5" customFormat="1" ht="34.950000000000003" customHeight="1" thickBot="1" x14ac:dyDescent="0.35">
      <c r="A16" s="110" t="s">
        <v>142</v>
      </c>
      <c r="B16" s="110" t="s">
        <v>144</v>
      </c>
      <c r="C16" s="110" t="s">
        <v>135</v>
      </c>
      <c r="D16" s="110">
        <v>4000000</v>
      </c>
      <c r="E16" s="110"/>
      <c r="F16" s="110">
        <v>5000000</v>
      </c>
    </row>
    <row r="17" spans="1:38" s="5" customFormat="1" hidden="1" x14ac:dyDescent="0.3">
      <c r="A17" s="49"/>
      <c r="B17" s="49"/>
      <c r="C17" s="49" t="s">
        <v>77</v>
      </c>
      <c r="D17" s="292"/>
      <c r="E17" s="49"/>
      <c r="F17" s="49"/>
    </row>
    <row r="18" spans="1:38" hidden="1" x14ac:dyDescent="0.3">
      <c r="A18" s="53"/>
      <c r="B18" s="53"/>
      <c r="C18" s="53" t="s">
        <v>78</v>
      </c>
      <c r="D18" s="293"/>
      <c r="E18" s="53"/>
      <c r="F18" s="53"/>
    </row>
    <row r="19" spans="1:38" hidden="1" x14ac:dyDescent="0.3">
      <c r="A19" s="53"/>
      <c r="B19" s="53"/>
      <c r="C19" s="53" t="s">
        <v>79</v>
      </c>
      <c r="D19" s="293"/>
      <c r="E19" s="53"/>
      <c r="F19" s="53"/>
    </row>
    <row r="20" spans="1:38" hidden="1" x14ac:dyDescent="0.3">
      <c r="A20" s="53"/>
      <c r="B20" s="53"/>
      <c r="C20" s="53" t="s">
        <v>80</v>
      </c>
      <c r="D20" s="293"/>
      <c r="E20" s="53"/>
      <c r="F20" s="53"/>
    </row>
    <row r="21" spans="1:38" hidden="1" x14ac:dyDescent="0.3">
      <c r="A21" s="215"/>
      <c r="B21" s="215"/>
      <c r="C21" s="215" t="s">
        <v>15</v>
      </c>
      <c r="D21" s="294"/>
      <c r="E21" s="215"/>
      <c r="F21" s="215"/>
    </row>
    <row r="22" spans="1:38" hidden="1" x14ac:dyDescent="0.3">
      <c r="A22" s="215"/>
      <c r="B22" s="215"/>
      <c r="C22" s="215" t="s">
        <v>81</v>
      </c>
      <c r="D22" s="294"/>
      <c r="E22" s="215"/>
      <c r="F22" s="215"/>
    </row>
    <row r="23" spans="1:38" hidden="1" x14ac:dyDescent="0.3"/>
    <row r="24" spans="1:38" s="2" customFormat="1" hidden="1" x14ac:dyDescent="0.3">
      <c r="A24" s="210" t="s">
        <v>82</v>
      </c>
      <c r="B24" s="210"/>
      <c r="C24" s="210"/>
      <c r="D24" s="290"/>
      <c r="E24" s="210"/>
      <c r="F24" s="210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</row>
    <row r="25" spans="1:38" s="2" customFormat="1" hidden="1" x14ac:dyDescent="0.3">
      <c r="A25" s="210" t="s">
        <v>83</v>
      </c>
      <c r="B25" s="210"/>
      <c r="C25" s="210"/>
      <c r="D25" s="290"/>
      <c r="E25" s="210"/>
      <c r="F25" s="210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</row>
    <row r="26" spans="1:38" s="2" customFormat="1" hidden="1" x14ac:dyDescent="0.3">
      <c r="A26" s="210"/>
      <c r="B26" s="210"/>
      <c r="C26" s="210"/>
      <c r="D26" s="290"/>
      <c r="E26" s="210"/>
      <c r="F26" s="210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</row>
    <row r="27" spans="1:38" s="2" customFormat="1" hidden="1" x14ac:dyDescent="0.3">
      <c r="A27" s="210" t="s">
        <v>84</v>
      </c>
      <c r="B27" s="210"/>
      <c r="C27" s="210"/>
      <c r="D27" s="290"/>
      <c r="E27" s="210"/>
      <c r="F27" s="210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</row>
    <row r="28" spans="1:38" hidden="1" x14ac:dyDescent="0.3"/>
    <row r="29" spans="1:38" hidden="1" x14ac:dyDescent="0.3"/>
    <row r="30" spans="1:38" ht="15" thickBot="1" x14ac:dyDescent="0.35"/>
    <row r="31" spans="1:38" ht="15" thickBot="1" x14ac:dyDescent="0.35">
      <c r="A31" s="110" t="s">
        <v>119</v>
      </c>
      <c r="B31" s="110" t="s">
        <v>185</v>
      </c>
      <c r="C31" s="110" t="s">
        <v>1</v>
      </c>
      <c r="D31" s="110" t="s">
        <v>154</v>
      </c>
      <c r="E31" s="110" t="s">
        <v>155</v>
      </c>
      <c r="F31" s="110" t="s">
        <v>156</v>
      </c>
    </row>
    <row r="32" spans="1:38" s="193" customFormat="1" ht="30.45" customHeight="1" thickBot="1" x14ac:dyDescent="0.35">
      <c r="A32" s="389" t="s">
        <v>127</v>
      </c>
      <c r="B32" s="389" t="s">
        <v>64</v>
      </c>
      <c r="C32" s="390" t="s">
        <v>175</v>
      </c>
      <c r="D32" s="391">
        <f>46701461.91-15000000-20000000</f>
        <v>11701461.909999996</v>
      </c>
      <c r="E32" s="391">
        <f>11701461.91+5000000</f>
        <v>16701461.91</v>
      </c>
      <c r="F32" s="389">
        <f>11701461.91</f>
        <v>11701461.91</v>
      </c>
      <c r="G32" s="95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</row>
    <row r="33" spans="1:38" s="58" customFormat="1" ht="29.4" thickBot="1" x14ac:dyDescent="0.35">
      <c r="A33" s="392" t="s">
        <v>129</v>
      </c>
      <c r="B33" s="392" t="s">
        <v>64</v>
      </c>
      <c r="C33" s="393" t="s">
        <v>175</v>
      </c>
      <c r="D33" s="391">
        <f>42533884.09-15000000-10000000-7000000</f>
        <v>10533884.090000004</v>
      </c>
      <c r="E33" s="391">
        <v>10533884.090000004</v>
      </c>
      <c r="F33" s="392">
        <v>10533884.090000004</v>
      </c>
      <c r="G33" s="9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 s="58" customFormat="1" ht="29.4" thickBot="1" x14ac:dyDescent="0.35">
      <c r="A34" s="392" t="s">
        <v>128</v>
      </c>
      <c r="B34" s="392" t="s">
        <v>64</v>
      </c>
      <c r="C34" s="393" t="s">
        <v>175</v>
      </c>
      <c r="D34" s="391">
        <f>41392865.45-10000000-10000000-10000000</f>
        <v>11392865.450000003</v>
      </c>
      <c r="E34" s="391">
        <v>11392865.450000003</v>
      </c>
      <c r="F34" s="392">
        <v>11392865.450000003</v>
      </c>
      <c r="G34" s="9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s="58" customFormat="1" ht="43.8" thickBot="1" x14ac:dyDescent="0.35">
      <c r="A35" s="392" t="s">
        <v>130</v>
      </c>
      <c r="B35" s="392" t="s">
        <v>64</v>
      </c>
      <c r="C35" s="393" t="s">
        <v>175</v>
      </c>
      <c r="D35" s="391">
        <f>(32199562.58-15000000-5000000)-1500000</f>
        <v>10699562.579999998</v>
      </c>
      <c r="E35" s="391">
        <v>10699562.579999998</v>
      </c>
      <c r="F35" s="392">
        <v>10699562.579999998</v>
      </c>
      <c r="G35" s="9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s="58" customFormat="1" ht="34.950000000000003" customHeight="1" thickBot="1" x14ac:dyDescent="0.35">
      <c r="A36" s="392" t="s">
        <v>131</v>
      </c>
      <c r="B36" s="392" t="s">
        <v>64</v>
      </c>
      <c r="C36" s="393" t="s">
        <v>175</v>
      </c>
      <c r="D36" s="391">
        <f>39931312-9459086.03-20000000-1500000</f>
        <v>8972225.9699999988</v>
      </c>
      <c r="E36" s="391">
        <f>8972225.97+5000000</f>
        <v>13972225.970000001</v>
      </c>
      <c r="F36" s="392">
        <v>8972225.9699999988</v>
      </c>
      <c r="G36" s="9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s="326" customFormat="1" ht="46.95" customHeight="1" thickBot="1" x14ac:dyDescent="0.35">
      <c r="A37" s="389" t="s">
        <v>188</v>
      </c>
      <c r="B37" s="389" t="s">
        <v>64</v>
      </c>
      <c r="C37" s="390" t="s">
        <v>189</v>
      </c>
      <c r="D37" s="391">
        <v>5000000</v>
      </c>
      <c r="E37" s="391">
        <v>9311000</v>
      </c>
      <c r="F37" s="389">
        <f>(5000000+5000000)--3692000</f>
        <v>13692000</v>
      </c>
      <c r="G37" s="95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2"/>
      <c r="AK37" s="192"/>
      <c r="AL37" s="192"/>
    </row>
    <row r="38" spans="1:38" s="326" customFormat="1" ht="33.450000000000003" customHeight="1" thickBot="1" x14ac:dyDescent="0.35">
      <c r="A38" s="389" t="s">
        <v>197</v>
      </c>
      <c r="B38" s="389" t="s">
        <v>64</v>
      </c>
      <c r="C38" s="390" t="s">
        <v>189</v>
      </c>
      <c r="D38" s="391">
        <v>5000000</v>
      </c>
      <c r="E38" s="391">
        <v>5000000</v>
      </c>
      <c r="F38" s="389">
        <v>5000000</v>
      </c>
      <c r="G38" s="95"/>
      <c r="H38" s="366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</row>
    <row r="39" spans="1:38" s="193" customFormat="1" ht="19.5" customHeight="1" thickBot="1" x14ac:dyDescent="0.35">
      <c r="A39" s="457" t="s">
        <v>132</v>
      </c>
      <c r="B39" s="458"/>
      <c r="C39" s="459"/>
      <c r="D39" s="313">
        <f>SUM(D32:D38)</f>
        <v>63300000</v>
      </c>
      <c r="E39" s="313">
        <f t="shared" ref="E39:F39" si="0">SUM(E32:E38)</f>
        <v>77611000</v>
      </c>
      <c r="F39" s="313">
        <f t="shared" si="0"/>
        <v>71992000</v>
      </c>
      <c r="G39" s="363"/>
      <c r="H39" s="36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</row>
    <row r="40" spans="1:38" s="193" customFormat="1" ht="19.5" customHeight="1" thickBot="1" x14ac:dyDescent="0.35">
      <c r="A40" s="362" t="s">
        <v>240</v>
      </c>
      <c r="B40" s="296"/>
      <c r="C40" s="362"/>
      <c r="D40" s="313">
        <f>D39+D16+D14+D10</f>
        <v>117237700</v>
      </c>
      <c r="E40" s="313">
        <f t="shared" ref="E40:F40" si="1">E39+E16+E14+E10</f>
        <v>142940700</v>
      </c>
      <c r="F40" s="313">
        <f t="shared" si="1"/>
        <v>145253100</v>
      </c>
      <c r="G40" s="363"/>
      <c r="H40" s="36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</row>
    <row r="41" spans="1:38" s="94" customFormat="1" ht="19.5" customHeight="1" thickBot="1" x14ac:dyDescent="0.35">
      <c r="A41" s="431"/>
      <c r="B41" s="432"/>
      <c r="C41" s="431"/>
      <c r="D41" s="433"/>
      <c r="E41" s="433"/>
      <c r="F41" s="432"/>
      <c r="G41" s="363"/>
      <c r="H41" s="364"/>
    </row>
    <row r="42" spans="1:38" ht="25.5" customHeight="1" thickBot="1" x14ac:dyDescent="0.35">
      <c r="A42" s="110" t="s">
        <v>119</v>
      </c>
      <c r="B42" s="110" t="s">
        <v>185</v>
      </c>
      <c r="C42" s="110" t="s">
        <v>1</v>
      </c>
      <c r="D42" s="110" t="s">
        <v>154</v>
      </c>
      <c r="E42" s="110" t="s">
        <v>155</v>
      </c>
      <c r="F42" s="110" t="s">
        <v>156</v>
      </c>
      <c r="G42" s="87"/>
      <c r="H42" s="87"/>
    </row>
    <row r="43" spans="1:38" s="349" customFormat="1" ht="31.5" hidden="1" customHeight="1" thickBot="1" x14ac:dyDescent="0.35">
      <c r="A43" s="400" t="s">
        <v>236</v>
      </c>
      <c r="B43" s="400" t="s">
        <v>139</v>
      </c>
      <c r="C43" s="401" t="s">
        <v>189</v>
      </c>
      <c r="D43" s="402"/>
      <c r="E43" s="400"/>
      <c r="F43" s="400"/>
      <c r="G43" s="365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2"/>
      <c r="AK43" s="192"/>
      <c r="AL43" s="192"/>
    </row>
    <row r="44" spans="1:38" s="349" customFormat="1" ht="37.950000000000003" customHeight="1" thickBot="1" x14ac:dyDescent="0.35">
      <c r="A44" s="334" t="s">
        <v>235</v>
      </c>
      <c r="B44" s="334" t="s">
        <v>139</v>
      </c>
      <c r="C44" s="337" t="s">
        <v>189</v>
      </c>
      <c r="D44" s="388">
        <v>500000</v>
      </c>
      <c r="E44" s="334"/>
      <c r="F44" s="334"/>
      <c r="G44" s="365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</row>
    <row r="45" spans="1:38" s="438" customFormat="1" ht="60.45" hidden="1" customHeight="1" thickBot="1" x14ac:dyDescent="0.35">
      <c r="A45" s="436" t="s">
        <v>195</v>
      </c>
      <c r="B45" s="436" t="s">
        <v>139</v>
      </c>
      <c r="C45" s="440" t="s">
        <v>193</v>
      </c>
      <c r="D45" s="437"/>
      <c r="E45" s="436"/>
      <c r="F45" s="436"/>
      <c r="G45" s="432"/>
      <c r="H45" s="431"/>
      <c r="I45" s="431"/>
      <c r="J45" s="431"/>
      <c r="K45" s="431"/>
      <c r="L45" s="431"/>
      <c r="M45" s="431"/>
      <c r="N45" s="431"/>
      <c r="O45" s="431"/>
      <c r="P45" s="431"/>
      <c r="Q45" s="431"/>
      <c r="R45" s="431"/>
      <c r="S45" s="431"/>
      <c r="T45" s="431"/>
      <c r="U45" s="431"/>
      <c r="V45" s="431"/>
      <c r="W45" s="431"/>
      <c r="X45" s="431"/>
      <c r="Y45" s="431"/>
      <c r="Z45" s="431"/>
      <c r="AA45" s="431"/>
      <c r="AB45" s="431"/>
      <c r="AC45" s="431"/>
      <c r="AD45" s="431"/>
      <c r="AE45" s="431"/>
      <c r="AF45" s="431"/>
      <c r="AG45" s="431"/>
      <c r="AH45" s="431"/>
      <c r="AI45" s="431"/>
      <c r="AJ45" s="431"/>
      <c r="AK45" s="431"/>
      <c r="AL45" s="431"/>
    </row>
    <row r="46" spans="1:38" s="326" customFormat="1" ht="15" thickBot="1" x14ac:dyDescent="0.35">
      <c r="A46" s="441" t="s">
        <v>210</v>
      </c>
      <c r="B46" s="334" t="s">
        <v>139</v>
      </c>
      <c r="C46" s="337" t="s">
        <v>194</v>
      </c>
      <c r="D46" s="263">
        <v>106661.99</v>
      </c>
      <c r="E46" s="299"/>
      <c r="F46" s="299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2"/>
      <c r="AK46" s="192"/>
      <c r="AL46" s="192"/>
    </row>
    <row r="47" spans="1:38" s="326" customFormat="1" ht="15" thickBot="1" x14ac:dyDescent="0.35">
      <c r="A47" s="441" t="s">
        <v>211</v>
      </c>
      <c r="B47" s="334" t="s">
        <v>139</v>
      </c>
      <c r="C47" s="337" t="s">
        <v>194</v>
      </c>
      <c r="D47" s="263">
        <v>561200</v>
      </c>
      <c r="E47" s="299"/>
      <c r="F47" s="299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92"/>
      <c r="AK47" s="192"/>
      <c r="AL47" s="192"/>
    </row>
    <row r="48" spans="1:38" s="326" customFormat="1" ht="15" thickBot="1" x14ac:dyDescent="0.35">
      <c r="A48" s="441" t="s">
        <v>212</v>
      </c>
      <c r="B48" s="334" t="s">
        <v>139</v>
      </c>
      <c r="C48" s="337" t="s">
        <v>194</v>
      </c>
      <c r="D48" s="263">
        <v>165600</v>
      </c>
      <c r="E48" s="299"/>
      <c r="F48" s="299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192"/>
      <c r="AI48" s="192"/>
      <c r="AJ48" s="192"/>
      <c r="AK48" s="192"/>
      <c r="AL48" s="192"/>
    </row>
    <row r="49" spans="1:38" s="326" customFormat="1" ht="15" thickBot="1" x14ac:dyDescent="0.35">
      <c r="A49" s="441" t="s">
        <v>213</v>
      </c>
      <c r="B49" s="334" t="s">
        <v>139</v>
      </c>
      <c r="C49" s="337" t="s">
        <v>194</v>
      </c>
      <c r="D49" s="263">
        <v>252885</v>
      </c>
      <c r="E49" s="299"/>
      <c r="F49" s="299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2"/>
      <c r="AL49" s="192"/>
    </row>
    <row r="50" spans="1:38" s="326" customFormat="1" ht="19.5" customHeight="1" thickBot="1" x14ac:dyDescent="0.35">
      <c r="A50" s="299" t="s">
        <v>200</v>
      </c>
      <c r="B50" s="299" t="s">
        <v>139</v>
      </c>
      <c r="C50" s="338" t="s">
        <v>199</v>
      </c>
      <c r="D50" s="312">
        <v>1500000</v>
      </c>
      <c r="E50" s="299"/>
      <c r="F50" s="299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</row>
    <row r="51" spans="1:38" ht="31.05" customHeight="1" thickBot="1" x14ac:dyDescent="0.35">
      <c r="A51" s="297" t="s">
        <v>191</v>
      </c>
      <c r="B51" s="297" t="s">
        <v>139</v>
      </c>
      <c r="C51" s="260" t="s">
        <v>192</v>
      </c>
      <c r="D51" s="442">
        <v>1500000</v>
      </c>
      <c r="E51" s="297"/>
      <c r="F51" s="297"/>
    </row>
    <row r="52" spans="1:38" ht="24" customHeight="1" thickBot="1" x14ac:dyDescent="0.35">
      <c r="A52" s="297" t="s">
        <v>201</v>
      </c>
      <c r="B52" s="297" t="s">
        <v>139</v>
      </c>
      <c r="C52" s="260" t="s">
        <v>192</v>
      </c>
      <c r="D52" s="442">
        <v>800000</v>
      </c>
      <c r="E52" s="297"/>
      <c r="F52" s="297"/>
    </row>
    <row r="53" spans="1:38" s="308" customFormat="1" ht="29.4" thickBot="1" x14ac:dyDescent="0.35">
      <c r="A53" s="392" t="s">
        <v>218</v>
      </c>
      <c r="B53" s="392" t="s">
        <v>139</v>
      </c>
      <c r="C53" s="147" t="s">
        <v>175</v>
      </c>
      <c r="D53" s="391">
        <v>2500000</v>
      </c>
      <c r="E53" s="392"/>
      <c r="F53" s="392"/>
      <c r="G53" s="310"/>
      <c r="H53" s="310"/>
      <c r="I53" s="310"/>
      <c r="J53" s="310"/>
      <c r="K53" s="310"/>
      <c r="L53" s="310"/>
      <c r="M53" s="310"/>
      <c r="N53" s="310"/>
      <c r="O53" s="310"/>
      <c r="P53" s="310"/>
      <c r="Q53" s="310"/>
      <c r="R53" s="310"/>
      <c r="S53" s="310"/>
      <c r="T53" s="310"/>
      <c r="U53" s="310"/>
      <c r="V53" s="310"/>
      <c r="W53" s="310"/>
      <c r="X53" s="310"/>
      <c r="Y53" s="310"/>
      <c r="Z53" s="310"/>
      <c r="AA53" s="310"/>
      <c r="AB53" s="310"/>
      <c r="AC53" s="310"/>
      <c r="AD53" s="310"/>
      <c r="AE53" s="310"/>
      <c r="AF53" s="310"/>
      <c r="AG53" s="310"/>
      <c r="AH53" s="310"/>
      <c r="AI53" s="310"/>
      <c r="AJ53" s="310"/>
      <c r="AK53" s="310"/>
      <c r="AL53" s="310"/>
    </row>
    <row r="54" spans="1:38" s="308" customFormat="1" ht="29.4" thickBot="1" x14ac:dyDescent="0.35">
      <c r="A54" s="392" t="s">
        <v>219</v>
      </c>
      <c r="B54" s="392" t="s">
        <v>139</v>
      </c>
      <c r="C54" s="147" t="s">
        <v>175</v>
      </c>
      <c r="D54" s="391">
        <v>1000000</v>
      </c>
      <c r="E54" s="392"/>
      <c r="F54" s="392"/>
      <c r="G54" s="310"/>
      <c r="H54" s="310"/>
      <c r="I54" s="310"/>
      <c r="J54" s="310"/>
      <c r="K54" s="310"/>
      <c r="L54" s="310"/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  <c r="X54" s="310"/>
      <c r="Y54" s="310"/>
      <c r="Z54" s="310"/>
      <c r="AA54" s="310"/>
      <c r="AB54" s="310"/>
      <c r="AC54" s="310"/>
      <c r="AD54" s="310"/>
      <c r="AE54" s="310"/>
      <c r="AF54" s="310"/>
      <c r="AG54" s="310"/>
      <c r="AH54" s="310"/>
      <c r="AI54" s="310"/>
      <c r="AJ54" s="310"/>
      <c r="AK54" s="310"/>
      <c r="AL54" s="310"/>
    </row>
    <row r="55" spans="1:38" s="308" customFormat="1" ht="29.4" thickBot="1" x14ac:dyDescent="0.35">
      <c r="A55" s="392" t="s">
        <v>220</v>
      </c>
      <c r="B55" s="392" t="s">
        <v>139</v>
      </c>
      <c r="C55" s="147" t="s">
        <v>175</v>
      </c>
      <c r="D55" s="391">
        <v>500000</v>
      </c>
      <c r="E55" s="392"/>
      <c r="F55" s="392"/>
      <c r="G55" s="310"/>
      <c r="H55" s="310"/>
      <c r="I55" s="310"/>
      <c r="J55" s="310"/>
      <c r="K55" s="310"/>
      <c r="L55" s="310"/>
      <c r="M55" s="310"/>
      <c r="N55" s="310"/>
      <c r="O55" s="310"/>
      <c r="P55" s="310"/>
      <c r="Q55" s="310"/>
      <c r="R55" s="310"/>
      <c r="S55" s="310"/>
      <c r="T55" s="310"/>
      <c r="U55" s="310"/>
      <c r="V55" s="310"/>
      <c r="W55" s="310"/>
      <c r="X55" s="310"/>
      <c r="Y55" s="310"/>
      <c r="Z55" s="310"/>
      <c r="AA55" s="310"/>
      <c r="AB55" s="310"/>
      <c r="AC55" s="310"/>
      <c r="AD55" s="310"/>
      <c r="AE55" s="310"/>
      <c r="AF55" s="310"/>
      <c r="AG55" s="310"/>
      <c r="AH55" s="310"/>
      <c r="AI55" s="310"/>
      <c r="AJ55" s="310"/>
      <c r="AK55" s="310"/>
      <c r="AL55" s="310"/>
    </row>
    <row r="56" spans="1:38" ht="29.4" thickBot="1" x14ac:dyDescent="0.35">
      <c r="A56" s="443" t="s">
        <v>179</v>
      </c>
      <c r="B56" s="297" t="s">
        <v>139</v>
      </c>
      <c r="C56" s="260" t="s">
        <v>180</v>
      </c>
      <c r="D56" s="312">
        <f>(5000000+1200000+1200000)+500000</f>
        <v>7900000</v>
      </c>
      <c r="E56" s="444">
        <v>5000000</v>
      </c>
      <c r="F56" s="297"/>
    </row>
    <row r="57" spans="1:38" ht="28.05" customHeight="1" thickBot="1" x14ac:dyDescent="0.35">
      <c r="A57" s="297" t="s">
        <v>161</v>
      </c>
      <c r="B57" s="297" t="s">
        <v>139</v>
      </c>
      <c r="C57" s="260" t="s">
        <v>135</v>
      </c>
      <c r="D57" s="312"/>
      <c r="E57" s="297"/>
      <c r="F57" s="297"/>
    </row>
    <row r="58" spans="1:38" ht="21" customHeight="1" thickBot="1" x14ac:dyDescent="0.35">
      <c r="A58" s="297" t="s">
        <v>138</v>
      </c>
      <c r="B58" s="444" t="s">
        <v>139</v>
      </c>
      <c r="C58" s="297" t="s">
        <v>135</v>
      </c>
      <c r="D58" s="338"/>
      <c r="E58" s="312">
        <v>1800000</v>
      </c>
      <c r="F58" s="444"/>
    </row>
    <row r="59" spans="1:38" s="308" customFormat="1" ht="29.4" thickBot="1" x14ac:dyDescent="0.35">
      <c r="A59" s="392" t="s">
        <v>217</v>
      </c>
      <c r="B59" s="445" t="s">
        <v>139</v>
      </c>
      <c r="C59" s="392" t="s">
        <v>135</v>
      </c>
      <c r="D59" s="391">
        <v>1000000</v>
      </c>
      <c r="E59" s="445"/>
      <c r="F59" s="445"/>
      <c r="G59" s="310"/>
      <c r="H59" s="310"/>
      <c r="I59" s="310"/>
      <c r="J59" s="310"/>
      <c r="K59" s="310"/>
      <c r="L59" s="310"/>
      <c r="M59" s="310"/>
      <c r="N59" s="310"/>
      <c r="O59" s="310"/>
      <c r="P59" s="310"/>
      <c r="Q59" s="310"/>
      <c r="R59" s="310"/>
      <c r="S59" s="310"/>
      <c r="T59" s="310"/>
      <c r="U59" s="310"/>
      <c r="V59" s="310"/>
      <c r="W59" s="310"/>
      <c r="X59" s="310"/>
      <c r="Y59" s="310"/>
      <c r="Z59" s="310"/>
      <c r="AA59" s="310"/>
      <c r="AB59" s="310"/>
      <c r="AC59" s="310"/>
      <c r="AD59" s="310"/>
      <c r="AE59" s="310"/>
      <c r="AF59" s="310"/>
      <c r="AG59" s="310"/>
      <c r="AH59" s="310"/>
      <c r="AI59" s="310"/>
      <c r="AJ59" s="310"/>
      <c r="AK59" s="310"/>
      <c r="AL59" s="310"/>
    </row>
    <row r="60" spans="1:38" ht="26.55" customHeight="1" thickBot="1" x14ac:dyDescent="0.35">
      <c r="A60" s="297" t="s">
        <v>137</v>
      </c>
      <c r="B60" s="444" t="s">
        <v>140</v>
      </c>
      <c r="C60" s="297" t="s">
        <v>135</v>
      </c>
      <c r="D60" s="312">
        <v>1200000</v>
      </c>
      <c r="E60" s="444"/>
      <c r="F60" s="444"/>
    </row>
    <row r="61" spans="1:38" ht="27.45" customHeight="1" thickBot="1" x14ac:dyDescent="0.35">
      <c r="A61" s="297" t="s">
        <v>123</v>
      </c>
      <c r="B61" s="444" t="s">
        <v>140</v>
      </c>
      <c r="C61" s="297" t="s">
        <v>184</v>
      </c>
      <c r="D61" s="312">
        <v>100000</v>
      </c>
      <c r="E61" s="444"/>
      <c r="F61" s="444"/>
    </row>
    <row r="62" spans="1:38" ht="27" customHeight="1" thickBot="1" x14ac:dyDescent="0.35">
      <c r="A62" s="297" t="s">
        <v>124</v>
      </c>
      <c r="B62" s="444" t="s">
        <v>140</v>
      </c>
      <c r="C62" s="297" t="s">
        <v>184</v>
      </c>
      <c r="D62" s="312">
        <v>200000</v>
      </c>
      <c r="E62" s="444"/>
      <c r="F62" s="444"/>
    </row>
    <row r="63" spans="1:38" s="308" customFormat="1" ht="28.95" customHeight="1" thickBot="1" x14ac:dyDescent="0.35">
      <c r="A63" s="392" t="s">
        <v>125</v>
      </c>
      <c r="B63" s="445" t="s">
        <v>140</v>
      </c>
      <c r="C63" s="392" t="s">
        <v>184</v>
      </c>
      <c r="D63" s="391">
        <v>1500000</v>
      </c>
      <c r="E63" s="445"/>
      <c r="F63" s="445"/>
      <c r="G63" s="310"/>
      <c r="H63" s="310"/>
      <c r="I63" s="310"/>
      <c r="J63" s="310"/>
      <c r="K63" s="310"/>
      <c r="L63" s="310"/>
      <c r="M63" s="310"/>
      <c r="N63" s="310"/>
      <c r="O63" s="310"/>
      <c r="P63" s="310"/>
      <c r="Q63" s="310"/>
      <c r="R63" s="310"/>
      <c r="S63" s="310"/>
      <c r="T63" s="310"/>
      <c r="U63" s="310"/>
      <c r="V63" s="310"/>
      <c r="W63" s="310"/>
      <c r="X63" s="310"/>
      <c r="Y63" s="310"/>
      <c r="Z63" s="310"/>
      <c r="AA63" s="310"/>
      <c r="AB63" s="310"/>
      <c r="AC63" s="310"/>
      <c r="AD63" s="310"/>
      <c r="AE63" s="310"/>
      <c r="AF63" s="310"/>
      <c r="AG63" s="310"/>
      <c r="AH63" s="310"/>
      <c r="AI63" s="310"/>
      <c r="AJ63" s="310"/>
      <c r="AK63" s="310"/>
      <c r="AL63" s="310"/>
    </row>
    <row r="64" spans="1:38" ht="32.549999999999997" customHeight="1" thickBot="1" x14ac:dyDescent="0.35">
      <c r="A64" s="297" t="s">
        <v>126</v>
      </c>
      <c r="B64" s="444" t="s">
        <v>140</v>
      </c>
      <c r="C64" s="297" t="s">
        <v>184</v>
      </c>
      <c r="D64" s="312">
        <v>500000</v>
      </c>
      <c r="E64" s="444"/>
      <c r="F64" s="444"/>
    </row>
    <row r="65" spans="1:6" ht="15" thickBot="1" x14ac:dyDescent="0.35">
      <c r="A65" s="297" t="s">
        <v>150</v>
      </c>
      <c r="B65" s="444" t="s">
        <v>140</v>
      </c>
      <c r="C65" s="297" t="s">
        <v>153</v>
      </c>
      <c r="D65" s="312">
        <v>1500000</v>
      </c>
      <c r="E65" s="444"/>
      <c r="F65" s="444"/>
    </row>
    <row r="66" spans="1:6" ht="34.5" customHeight="1" thickBot="1" x14ac:dyDescent="0.35">
      <c r="A66" s="297" t="s">
        <v>151</v>
      </c>
      <c r="B66" s="444" t="s">
        <v>140</v>
      </c>
      <c r="C66" s="297" t="s">
        <v>153</v>
      </c>
      <c r="D66" s="312">
        <v>110000</v>
      </c>
      <c r="E66" s="444"/>
      <c r="F66" s="444"/>
    </row>
    <row r="67" spans="1:6" s="5" customFormat="1" ht="19.95" customHeight="1" thickBot="1" x14ac:dyDescent="0.35">
      <c r="A67" s="297" t="s">
        <v>152</v>
      </c>
      <c r="B67" s="444" t="s">
        <v>140</v>
      </c>
      <c r="C67" s="297" t="s">
        <v>153</v>
      </c>
      <c r="D67" s="312">
        <v>220000</v>
      </c>
      <c r="E67" s="444"/>
      <c r="F67" s="444"/>
    </row>
    <row r="68" spans="1:6" s="5" customFormat="1" ht="15" thickBot="1" x14ac:dyDescent="0.35">
      <c r="A68" s="297" t="s">
        <v>146</v>
      </c>
      <c r="B68" s="444" t="s">
        <v>140</v>
      </c>
      <c r="C68" s="297" t="s">
        <v>148</v>
      </c>
      <c r="D68" s="312">
        <v>3500000</v>
      </c>
      <c r="E68" s="444">
        <v>3500000</v>
      </c>
      <c r="F68" s="444"/>
    </row>
    <row r="69" spans="1:6" s="5" customFormat="1" ht="15" thickBot="1" x14ac:dyDescent="0.35">
      <c r="A69" s="297" t="s">
        <v>149</v>
      </c>
      <c r="B69" s="444" t="s">
        <v>140</v>
      </c>
      <c r="C69" s="297" t="s">
        <v>148</v>
      </c>
      <c r="D69" s="312">
        <v>500000</v>
      </c>
      <c r="E69" s="444">
        <v>500000</v>
      </c>
      <c r="F69" s="444">
        <v>500000</v>
      </c>
    </row>
    <row r="70" spans="1:6" s="5" customFormat="1" ht="15" thickBot="1" x14ac:dyDescent="0.35">
      <c r="A70" s="297" t="s">
        <v>147</v>
      </c>
      <c r="B70" s="444" t="s">
        <v>140</v>
      </c>
      <c r="C70" s="297" t="s">
        <v>148</v>
      </c>
      <c r="D70" s="312">
        <v>300000</v>
      </c>
      <c r="E70" s="444">
        <v>300000</v>
      </c>
      <c r="F70" s="444">
        <v>300000</v>
      </c>
    </row>
    <row r="71" spans="1:6" s="5" customFormat="1" ht="43.05" customHeight="1" thickBot="1" x14ac:dyDescent="0.35">
      <c r="A71" s="334" t="s">
        <v>157</v>
      </c>
      <c r="B71" s="388" t="s">
        <v>140</v>
      </c>
      <c r="C71" s="334" t="s">
        <v>158</v>
      </c>
      <c r="D71" s="388">
        <v>1000000</v>
      </c>
      <c r="E71" s="446"/>
      <c r="F71" s="446"/>
    </row>
    <row r="72" spans="1:6" s="5" customFormat="1" ht="22.05" customHeight="1" thickBot="1" x14ac:dyDescent="0.35">
      <c r="A72" s="447" t="s">
        <v>159</v>
      </c>
      <c r="B72" s="446" t="s">
        <v>140</v>
      </c>
      <c r="C72" s="447" t="s">
        <v>158</v>
      </c>
      <c r="D72" s="388">
        <v>500000</v>
      </c>
      <c r="E72" s="446"/>
      <c r="F72" s="446"/>
    </row>
    <row r="73" spans="1:6" s="5" customFormat="1" ht="29.4" thickBot="1" x14ac:dyDescent="0.35">
      <c r="A73" s="447" t="s">
        <v>202</v>
      </c>
      <c r="B73" s="446" t="s">
        <v>140</v>
      </c>
      <c r="C73" s="447" t="s">
        <v>158</v>
      </c>
      <c r="D73" s="388">
        <v>1000000</v>
      </c>
      <c r="E73" s="446"/>
      <c r="F73" s="446"/>
    </row>
    <row r="74" spans="1:6" s="5" customFormat="1" ht="25.05" hidden="1" customHeight="1" x14ac:dyDescent="0.3">
      <c r="A74" s="441" t="s">
        <v>160</v>
      </c>
      <c r="B74" s="446" t="s">
        <v>140</v>
      </c>
      <c r="C74" s="447" t="s">
        <v>158</v>
      </c>
      <c r="D74" s="448"/>
      <c r="E74" s="441"/>
      <c r="F74" s="441"/>
    </row>
    <row r="75" spans="1:6" s="5" customFormat="1" ht="19.95" customHeight="1" thickBot="1" x14ac:dyDescent="0.35">
      <c r="A75" s="447" t="s">
        <v>117</v>
      </c>
      <c r="B75" s="446" t="s">
        <v>140</v>
      </c>
      <c r="C75" s="447" t="s">
        <v>116</v>
      </c>
      <c r="D75" s="388">
        <v>50000</v>
      </c>
      <c r="E75" s="446"/>
      <c r="F75" s="446"/>
    </row>
    <row r="76" spans="1:6" s="5" customFormat="1" ht="19.95" customHeight="1" thickBot="1" x14ac:dyDescent="0.35">
      <c r="A76" s="297" t="s">
        <v>118</v>
      </c>
      <c r="B76" s="444" t="s">
        <v>140</v>
      </c>
      <c r="C76" s="297" t="s">
        <v>116</v>
      </c>
      <c r="D76" s="312">
        <v>50000</v>
      </c>
      <c r="E76" s="444"/>
      <c r="F76" s="444"/>
    </row>
    <row r="77" spans="1:6" s="5" customFormat="1" ht="26.55" customHeight="1" thickBot="1" x14ac:dyDescent="0.35">
      <c r="A77" s="297" t="s">
        <v>215</v>
      </c>
      <c r="B77" s="444" t="s">
        <v>140</v>
      </c>
      <c r="C77" s="297" t="s">
        <v>216</v>
      </c>
      <c r="D77" s="312">
        <f>140000*4</f>
        <v>560000</v>
      </c>
      <c r="E77" s="444"/>
      <c r="F77" s="444"/>
    </row>
    <row r="78" spans="1:6" s="5" customFormat="1" ht="19.5" customHeight="1" thickBot="1" x14ac:dyDescent="0.35">
      <c r="A78" s="449"/>
      <c r="B78" s="450"/>
      <c r="C78" s="449"/>
      <c r="D78" s="451">
        <f>SUM(D43:D77)</f>
        <v>31076346.990000002</v>
      </c>
      <c r="E78" s="451">
        <f t="shared" ref="E78" si="2">SUM(E43:E77)</f>
        <v>11100000</v>
      </c>
      <c r="F78" s="451">
        <f>SUM(F43:F77)</f>
        <v>800000</v>
      </c>
    </row>
    <row r="79" spans="1:6" s="5" customFormat="1" ht="19.95" customHeight="1" x14ac:dyDescent="0.3">
      <c r="A79" s="300"/>
      <c r="B79" s="302"/>
      <c r="C79" s="300"/>
      <c r="D79" s="301"/>
      <c r="E79" s="302"/>
      <c r="F79" s="302"/>
    </row>
    <row r="80" spans="1:6" s="5" customFormat="1" ht="19.5" customHeight="1" thickBot="1" x14ac:dyDescent="0.35">
      <c r="A80" s="126" t="s">
        <v>239</v>
      </c>
      <c r="B80" s="287"/>
      <c r="C80" s="126"/>
      <c r="D80" s="330">
        <f>D39+D16+D14+D10+D78</f>
        <v>148314046.99000001</v>
      </c>
      <c r="E80" s="330">
        <f>E39+E16+E14+E10</f>
        <v>142940700</v>
      </c>
      <c r="F80" s="330">
        <f>F78</f>
        <v>800000</v>
      </c>
    </row>
    <row r="81" spans="1:38" s="5" customFormat="1" ht="19.95" customHeight="1" thickBot="1" x14ac:dyDescent="0.35">
      <c r="A81" s="300"/>
      <c r="B81" s="302"/>
      <c r="C81" s="300"/>
      <c r="D81" s="301"/>
      <c r="E81" s="302"/>
      <c r="F81" s="302"/>
    </row>
    <row r="82" spans="1:38" s="5" customFormat="1" ht="22.5" customHeight="1" thickBot="1" x14ac:dyDescent="0.35">
      <c r="A82" s="110" t="s">
        <v>112</v>
      </c>
      <c r="B82" s="110" t="s">
        <v>185</v>
      </c>
      <c r="C82" s="110"/>
      <c r="D82" s="110" t="s">
        <v>154</v>
      </c>
      <c r="E82" s="110" t="s">
        <v>155</v>
      </c>
      <c r="F82" s="110" t="s">
        <v>156</v>
      </c>
    </row>
    <row r="83" spans="1:38" s="5" customFormat="1" ht="19.95" customHeight="1" thickBot="1" x14ac:dyDescent="0.35">
      <c r="A83" s="373" t="s">
        <v>63</v>
      </c>
      <c r="B83" s="374"/>
      <c r="C83" s="373"/>
      <c r="D83" s="375">
        <f>D10</f>
        <v>49937700</v>
      </c>
      <c r="E83" s="375">
        <f>E10</f>
        <v>54117700</v>
      </c>
      <c r="F83" s="375">
        <f>F10</f>
        <v>56542100</v>
      </c>
    </row>
    <row r="84" spans="1:38" s="5" customFormat="1" ht="15" thickBot="1" x14ac:dyDescent="0.35">
      <c r="A84" s="376" t="s">
        <v>143</v>
      </c>
      <c r="B84" s="377"/>
      <c r="C84" s="376"/>
      <c r="D84" s="378">
        <f>D14</f>
        <v>0</v>
      </c>
      <c r="E84" s="378">
        <f t="shared" ref="E84:F84" si="3">E14</f>
        <v>11212000</v>
      </c>
      <c r="F84" s="378">
        <f t="shared" si="3"/>
        <v>11719000</v>
      </c>
    </row>
    <row r="85" spans="1:38" s="5" customFormat="1" ht="15" thickBot="1" x14ac:dyDescent="0.35">
      <c r="A85" s="376" t="s">
        <v>238</v>
      </c>
      <c r="B85" s="377"/>
      <c r="C85" s="376"/>
      <c r="D85" s="378">
        <f>D16</f>
        <v>4000000</v>
      </c>
      <c r="E85" s="378">
        <f t="shared" ref="E85:F85" si="4">E16</f>
        <v>0</v>
      </c>
      <c r="F85" s="378">
        <f t="shared" si="4"/>
        <v>5000000</v>
      </c>
    </row>
    <row r="86" spans="1:38" s="5" customFormat="1" ht="15" thickBot="1" x14ac:dyDescent="0.35">
      <c r="A86" s="376" t="s">
        <v>64</v>
      </c>
      <c r="B86" s="377"/>
      <c r="C86" s="376"/>
      <c r="D86" s="378">
        <f>D39</f>
        <v>63300000</v>
      </c>
      <c r="E86" s="378">
        <f t="shared" ref="E86:F86" si="5">E39</f>
        <v>77611000</v>
      </c>
      <c r="F86" s="378">
        <f t="shared" si="5"/>
        <v>71992000</v>
      </c>
    </row>
    <row r="87" spans="1:38" s="5" customFormat="1" ht="15" thickBot="1" x14ac:dyDescent="0.35">
      <c r="A87" s="376" t="s">
        <v>237</v>
      </c>
      <c r="B87" s="377"/>
      <c r="C87" s="376"/>
      <c r="D87" s="378">
        <f>D78</f>
        <v>31076346.990000002</v>
      </c>
      <c r="E87" s="378">
        <f t="shared" ref="E87:F87" si="6">E78</f>
        <v>11100000</v>
      </c>
      <c r="F87" s="378">
        <f t="shared" si="6"/>
        <v>800000</v>
      </c>
    </row>
    <row r="88" spans="1:38" s="210" customFormat="1" ht="15" thickBot="1" x14ac:dyDescent="0.35">
      <c r="A88" s="126" t="s">
        <v>233</v>
      </c>
      <c r="B88" s="287"/>
      <c r="C88" s="126"/>
      <c r="D88" s="330">
        <f>SUM(D83:D87)</f>
        <v>148314046.99000001</v>
      </c>
      <c r="E88" s="330">
        <f t="shared" ref="E88:F88" si="7">SUM(E83:E87)</f>
        <v>154040700</v>
      </c>
      <c r="F88" s="330">
        <f t="shared" si="7"/>
        <v>146053100</v>
      </c>
      <c r="G88" s="5"/>
      <c r="H88" s="5"/>
      <c r="I88" s="5"/>
      <c r="J88" s="220"/>
      <c r="K88" s="220"/>
      <c r="L88" s="220"/>
      <c r="M88" s="220"/>
      <c r="N88" s="220"/>
      <c r="O88" s="220"/>
      <c r="P88" s="220"/>
      <c r="Q88" s="220"/>
      <c r="R88" s="220"/>
      <c r="S88" s="220"/>
      <c r="T88" s="220"/>
      <c r="U88" s="220"/>
      <c r="V88" s="220"/>
      <c r="W88" s="220"/>
      <c r="X88" s="220"/>
      <c r="Y88" s="220"/>
      <c r="Z88" s="220"/>
      <c r="AA88" s="220"/>
      <c r="AB88" s="220"/>
      <c r="AC88" s="220"/>
      <c r="AD88" s="220"/>
      <c r="AE88" s="220"/>
      <c r="AF88" s="220"/>
      <c r="AG88" s="220"/>
      <c r="AH88" s="220"/>
      <c r="AI88" s="220"/>
      <c r="AJ88" s="220"/>
      <c r="AK88" s="220"/>
      <c r="AL88" s="220"/>
    </row>
    <row r="89" spans="1:38" s="210" customFormat="1" x14ac:dyDescent="0.3">
      <c r="G89" s="5"/>
      <c r="H89" s="5"/>
      <c r="I89" s="5"/>
      <c r="J89" s="220"/>
      <c r="K89" s="220"/>
      <c r="L89" s="220"/>
      <c r="M89" s="220"/>
      <c r="N89" s="220"/>
      <c r="O89" s="220"/>
      <c r="P89" s="220"/>
      <c r="Q89" s="220"/>
      <c r="R89" s="220"/>
      <c r="S89" s="220"/>
      <c r="T89" s="220"/>
      <c r="U89" s="220"/>
      <c r="V89" s="220"/>
      <c r="W89" s="220"/>
      <c r="X89" s="220"/>
      <c r="Y89" s="220"/>
      <c r="Z89" s="220"/>
      <c r="AA89" s="220"/>
      <c r="AB89" s="220"/>
      <c r="AC89" s="220"/>
      <c r="AD89" s="220"/>
      <c r="AE89" s="220"/>
      <c r="AF89" s="220"/>
      <c r="AG89" s="220"/>
      <c r="AH89" s="220"/>
      <c r="AI89" s="220"/>
      <c r="AJ89" s="220"/>
      <c r="AK89" s="220"/>
      <c r="AL89" s="220"/>
    </row>
    <row r="90" spans="1:38" s="210" customFormat="1" x14ac:dyDescent="0.3">
      <c r="D90" s="2"/>
      <c r="E90" s="2"/>
      <c r="F90" s="2"/>
      <c r="G90" s="5"/>
      <c r="H90" s="5"/>
      <c r="I90" s="5"/>
      <c r="J90" s="220"/>
      <c r="K90" s="220"/>
      <c r="L90" s="220"/>
      <c r="M90" s="220"/>
      <c r="N90" s="220"/>
      <c r="O90" s="220"/>
      <c r="P90" s="220"/>
      <c r="Q90" s="220"/>
      <c r="R90" s="220"/>
      <c r="S90" s="220"/>
      <c r="T90" s="220"/>
      <c r="U90" s="220"/>
      <c r="V90" s="220"/>
      <c r="W90" s="220"/>
      <c r="X90" s="220"/>
      <c r="Y90" s="220"/>
      <c r="Z90" s="220"/>
      <c r="AA90" s="220"/>
      <c r="AB90" s="220"/>
      <c r="AC90" s="220"/>
      <c r="AD90" s="220"/>
      <c r="AE90" s="220"/>
      <c r="AF90" s="220"/>
      <c r="AG90" s="220"/>
      <c r="AH90" s="220"/>
      <c r="AI90" s="220"/>
      <c r="AJ90" s="220"/>
      <c r="AK90" s="220"/>
      <c r="AL90" s="220"/>
    </row>
    <row r="91" spans="1:38" s="210" customFormat="1" x14ac:dyDescent="0.3">
      <c r="G91" s="5"/>
      <c r="H91" s="5"/>
      <c r="I91" s="5"/>
      <c r="J91" s="220"/>
      <c r="K91" s="220"/>
      <c r="L91" s="220"/>
      <c r="M91" s="220"/>
      <c r="N91" s="220"/>
      <c r="O91" s="220"/>
      <c r="P91" s="220"/>
      <c r="Q91" s="220"/>
      <c r="R91" s="220"/>
      <c r="S91" s="220"/>
      <c r="T91" s="220"/>
      <c r="U91" s="220"/>
      <c r="V91" s="220"/>
      <c r="W91" s="220"/>
      <c r="X91" s="220"/>
      <c r="Y91" s="220"/>
      <c r="Z91" s="220"/>
      <c r="AA91" s="220"/>
      <c r="AB91" s="220"/>
      <c r="AC91" s="220"/>
      <c r="AD91" s="220"/>
      <c r="AE91" s="220"/>
      <c r="AF91" s="220"/>
      <c r="AG91" s="220"/>
      <c r="AH91" s="220"/>
      <c r="AI91" s="220"/>
      <c r="AJ91" s="220"/>
      <c r="AK91" s="220"/>
      <c r="AL91" s="220"/>
    </row>
    <row r="92" spans="1:38" x14ac:dyDescent="0.3">
      <c r="D92" s="439"/>
      <c r="E92" s="439"/>
      <c r="F92" s="439"/>
    </row>
    <row r="93" spans="1:38" s="210" customFormat="1" x14ac:dyDescent="0.3">
      <c r="D93" s="306"/>
      <c r="G93" s="5"/>
      <c r="H93" s="5"/>
      <c r="I93" s="5"/>
      <c r="J93" s="220"/>
      <c r="K93" s="220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  <c r="W93" s="220"/>
      <c r="X93" s="220"/>
      <c r="Y93" s="220"/>
      <c r="Z93" s="220"/>
      <c r="AA93" s="220"/>
      <c r="AB93" s="220"/>
      <c r="AC93" s="220"/>
      <c r="AD93" s="220"/>
      <c r="AE93" s="220"/>
      <c r="AF93" s="220"/>
      <c r="AG93" s="220"/>
      <c r="AH93" s="220"/>
      <c r="AI93" s="220"/>
      <c r="AJ93" s="220"/>
      <c r="AK93" s="220"/>
      <c r="AL93" s="220"/>
    </row>
    <row r="94" spans="1:38" s="210" customFormat="1" x14ac:dyDescent="0.3">
      <c r="D94" s="288"/>
      <c r="G94" s="5"/>
      <c r="H94" s="5"/>
      <c r="I94" s="5"/>
      <c r="J94" s="220"/>
      <c r="K94" s="220"/>
      <c r="L94" s="220"/>
      <c r="M94" s="220"/>
      <c r="N94" s="220"/>
      <c r="O94" s="220"/>
      <c r="P94" s="220"/>
      <c r="Q94" s="220"/>
      <c r="R94" s="220"/>
      <c r="S94" s="220"/>
      <c r="T94" s="220"/>
      <c r="U94" s="220"/>
      <c r="V94" s="220"/>
      <c r="W94" s="220"/>
      <c r="X94" s="220"/>
      <c r="Y94" s="220"/>
      <c r="Z94" s="220"/>
      <c r="AA94" s="220"/>
      <c r="AB94" s="220"/>
      <c r="AC94" s="220"/>
      <c r="AD94" s="220"/>
      <c r="AE94" s="220"/>
      <c r="AF94" s="220"/>
      <c r="AG94" s="220"/>
      <c r="AH94" s="220"/>
      <c r="AI94" s="220"/>
      <c r="AJ94" s="220"/>
      <c r="AK94" s="220"/>
      <c r="AL94" s="220"/>
    </row>
  </sheetData>
  <mergeCells count="1">
    <mergeCell ref="A39:C39"/>
  </mergeCells>
  <pageMargins left="0.7" right="0.7" top="0.75" bottom="0.75" header="0.3" footer="0.3"/>
  <pageSetup scale="79" orientation="portrait" r:id="rId1"/>
  <rowBreaks count="2" manualBreakCount="2">
    <brk id="41" max="5" man="1"/>
    <brk id="79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0121A-ED03-401B-98ED-0D31BFBA595B}">
  <sheetPr>
    <tabColor theme="8"/>
  </sheetPr>
  <dimension ref="A2:P105"/>
  <sheetViews>
    <sheetView topLeftCell="A55" workbookViewId="0">
      <selection activeCell="C56" sqref="C56:C63"/>
    </sheetView>
  </sheetViews>
  <sheetFormatPr defaultRowHeight="14.4" x14ac:dyDescent="0.3"/>
  <cols>
    <col min="1" max="1" width="30" style="210" customWidth="1"/>
    <col min="2" max="2" width="22.21875" style="210" hidden="1" customWidth="1"/>
    <col min="3" max="3" width="16" style="2" customWidth="1"/>
    <col min="4" max="4" width="19" style="2" hidden="1" customWidth="1"/>
    <col min="5" max="5" width="14.77734375" style="2" hidden="1" customWidth="1"/>
    <col min="6" max="6" width="6.77734375" style="3" hidden="1" customWidth="1"/>
    <col min="7" max="7" width="14.21875" style="4" customWidth="1"/>
    <col min="8" max="9" width="15.21875" style="4" customWidth="1"/>
    <col min="10" max="10" width="44.77734375" style="4" customWidth="1"/>
    <col min="11" max="11" width="14.21875" style="5" customWidth="1"/>
    <col min="12" max="12" width="8.77734375" style="5" customWidth="1"/>
    <col min="13" max="13" width="12.77734375" style="6" customWidth="1"/>
    <col min="14" max="15" width="20.21875" style="6" customWidth="1"/>
    <col min="16" max="16" width="20.77734375" customWidth="1"/>
    <col min="17" max="17" width="19.44140625" customWidth="1"/>
  </cols>
  <sheetData>
    <row r="2" spans="1:15" x14ac:dyDescent="0.3">
      <c r="A2" s="1" t="s">
        <v>0</v>
      </c>
      <c r="B2" s="1"/>
    </row>
    <row r="3" spans="1:15" s="14" customFormat="1" ht="43.8" hidden="1" thickBot="1" x14ac:dyDescent="0.35">
      <c r="A3" s="7" t="s">
        <v>1</v>
      </c>
      <c r="B3" s="7"/>
      <c r="C3" s="8" t="s">
        <v>2</v>
      </c>
      <c r="D3" s="8" t="s">
        <v>3</v>
      </c>
      <c r="E3" s="9"/>
      <c r="F3" s="10" t="s">
        <v>4</v>
      </c>
      <c r="G3" s="8" t="s">
        <v>5</v>
      </c>
      <c r="H3" s="8" t="s">
        <v>6</v>
      </c>
      <c r="I3" s="8"/>
      <c r="J3" s="8" t="s">
        <v>7</v>
      </c>
      <c r="K3" s="11"/>
      <c r="L3" s="12"/>
      <c r="M3" s="13"/>
      <c r="N3" s="13"/>
      <c r="O3" s="13"/>
    </row>
    <row r="4" spans="1:15" s="23" customFormat="1" ht="31.5" hidden="1" customHeight="1" x14ac:dyDescent="0.3">
      <c r="A4" s="15" t="s">
        <v>8</v>
      </c>
      <c r="B4" s="16"/>
      <c r="C4" s="15">
        <v>20353750</v>
      </c>
      <c r="D4" s="17">
        <v>1145557.8489999999</v>
      </c>
      <c r="E4" s="18"/>
      <c r="F4" s="19">
        <f>D4/C4</f>
        <v>5.628239754345022E-2</v>
      </c>
      <c r="G4" s="20">
        <f>19787249.36-355400</f>
        <v>19431849.359999999</v>
      </c>
      <c r="H4" s="20">
        <f>C4-G4</f>
        <v>921900.6400000006</v>
      </c>
      <c r="I4" s="269"/>
      <c r="J4" s="452" t="s">
        <v>9</v>
      </c>
      <c r="K4" s="21"/>
      <c r="L4" s="5"/>
      <c r="M4" s="22"/>
      <c r="N4" s="22"/>
      <c r="O4" s="22"/>
    </row>
    <row r="5" spans="1:15" ht="31.05" hidden="1" customHeight="1" x14ac:dyDescent="0.3">
      <c r="A5" s="24" t="s">
        <v>10</v>
      </c>
      <c r="B5" s="24"/>
      <c r="C5" s="25">
        <v>10000000</v>
      </c>
      <c r="D5" s="26">
        <v>716852.5</v>
      </c>
      <c r="E5" s="26"/>
      <c r="F5" s="27">
        <f t="shared" ref="F5:F6" si="0">D5/C5</f>
        <v>7.1685250000000006E-2</v>
      </c>
      <c r="G5" s="28">
        <v>10000000</v>
      </c>
      <c r="H5" s="28">
        <f t="shared" ref="H5:H11" si="1">C5-G5</f>
        <v>0</v>
      </c>
      <c r="I5" s="269"/>
      <c r="J5" s="453"/>
      <c r="M5" s="22"/>
      <c r="N5" s="22"/>
      <c r="O5" s="22"/>
    </row>
    <row r="6" spans="1:15" ht="34.5" hidden="1" customHeight="1" x14ac:dyDescent="0.3">
      <c r="A6" s="29" t="str">
        <f>'[1]Budget Schedule'!E1075</f>
        <v xml:space="preserve">Highmast installation in Various villages </v>
      </c>
      <c r="B6" s="29"/>
      <c r="C6" s="25">
        <f>'[1]Budget Schedule'!AA1075</f>
        <v>17550000</v>
      </c>
      <c r="D6" s="30">
        <v>5803035.3434999995</v>
      </c>
      <c r="E6" s="30"/>
      <c r="F6" s="27">
        <f t="shared" si="0"/>
        <v>0.3306572845299145</v>
      </c>
      <c r="G6" s="28">
        <v>8933523.9900000002</v>
      </c>
      <c r="H6" s="28">
        <f t="shared" si="1"/>
        <v>8616476.0099999998</v>
      </c>
      <c r="I6" s="269"/>
      <c r="J6" s="453"/>
      <c r="M6" s="22"/>
      <c r="N6" s="22"/>
      <c r="O6" s="22"/>
    </row>
    <row r="7" spans="1:15" ht="34.5" hidden="1" customHeight="1" x14ac:dyDescent="0.3">
      <c r="A7" s="31" t="s">
        <v>11</v>
      </c>
      <c r="B7" s="31"/>
      <c r="C7" s="32"/>
      <c r="D7" s="33"/>
      <c r="E7" s="34"/>
      <c r="F7" s="35"/>
      <c r="G7" s="36">
        <v>135794.16</v>
      </c>
      <c r="H7" s="36">
        <f t="shared" si="1"/>
        <v>-135794.16</v>
      </c>
      <c r="I7" s="270"/>
      <c r="J7" s="453"/>
      <c r="M7" s="37"/>
      <c r="N7" s="37"/>
      <c r="O7" s="37"/>
    </row>
    <row r="8" spans="1:15" ht="25.95" hidden="1" customHeight="1" x14ac:dyDescent="0.3">
      <c r="A8" s="31" t="s">
        <v>12</v>
      </c>
      <c r="B8" s="31"/>
      <c r="C8" s="32"/>
      <c r="D8" s="33"/>
      <c r="E8" s="34"/>
      <c r="F8" s="35"/>
      <c r="G8" s="36">
        <v>2064223.51</v>
      </c>
      <c r="H8" s="36">
        <f t="shared" si="1"/>
        <v>-2064223.51</v>
      </c>
      <c r="I8" s="270"/>
      <c r="J8" s="453"/>
      <c r="M8" s="37"/>
      <c r="N8" s="37"/>
      <c r="O8" s="37"/>
    </row>
    <row r="9" spans="1:15" s="23" customFormat="1" ht="25.95" hidden="1" customHeight="1" x14ac:dyDescent="0.3">
      <c r="A9" s="38" t="s">
        <v>13</v>
      </c>
      <c r="B9" s="38"/>
      <c r="C9" s="39"/>
      <c r="D9" s="39"/>
      <c r="E9" s="40"/>
      <c r="F9" s="41"/>
      <c r="G9" s="42">
        <v>2030870.92</v>
      </c>
      <c r="H9" s="42">
        <f t="shared" si="1"/>
        <v>-2030870.92</v>
      </c>
      <c r="I9" s="271"/>
      <c r="J9" s="453"/>
      <c r="K9" s="5"/>
      <c r="L9" s="5"/>
      <c r="M9" s="37"/>
      <c r="N9" s="37"/>
      <c r="O9" s="37"/>
    </row>
    <row r="10" spans="1:15" s="23" customFormat="1" ht="25.95" hidden="1" customHeight="1" x14ac:dyDescent="0.3">
      <c r="A10" s="38" t="s">
        <v>14</v>
      </c>
      <c r="B10" s="38"/>
      <c r="C10" s="39"/>
      <c r="D10" s="43"/>
      <c r="E10" s="44"/>
      <c r="F10" s="41"/>
      <c r="G10" s="43">
        <v>5307488.0599999996</v>
      </c>
      <c r="H10" s="43">
        <f t="shared" si="1"/>
        <v>-5307488.0599999996</v>
      </c>
      <c r="I10" s="271"/>
      <c r="J10" s="454"/>
      <c r="K10" s="5"/>
      <c r="L10" s="5"/>
      <c r="M10" s="37"/>
      <c r="N10" s="37"/>
      <c r="O10" s="37"/>
    </row>
    <row r="11" spans="1:15" ht="28.5" hidden="1" customHeight="1" thickBot="1" x14ac:dyDescent="0.35">
      <c r="A11" s="45" t="s">
        <v>15</v>
      </c>
      <c r="B11" s="45"/>
      <c r="C11" s="46">
        <f>SUM(C4:C6)</f>
        <v>47903750</v>
      </c>
      <c r="D11" s="46">
        <f t="shared" ref="D11:F11" si="2">SUM(D4:D6)</f>
        <v>7665445.692499999</v>
      </c>
      <c r="E11" s="46">
        <f t="shared" si="2"/>
        <v>0</v>
      </c>
      <c r="F11" s="46">
        <f t="shared" si="2"/>
        <v>0.45862493207336474</v>
      </c>
      <c r="G11" s="46">
        <f>SUM(G4:G10)</f>
        <v>47903750</v>
      </c>
      <c r="H11" s="46">
        <f t="shared" si="1"/>
        <v>0</v>
      </c>
      <c r="I11" s="46"/>
      <c r="J11" s="47"/>
      <c r="K11" s="48"/>
      <c r="M11" s="22"/>
      <c r="N11" s="22"/>
      <c r="O11" s="22"/>
    </row>
    <row r="12" spans="1:15" hidden="1" x14ac:dyDescent="0.3">
      <c r="A12" s="49"/>
      <c r="B12" s="49"/>
      <c r="C12" s="50"/>
    </row>
    <row r="13" spans="1:15" ht="15" hidden="1" thickBot="1" x14ac:dyDescent="0.35">
      <c r="A13" s="1" t="s">
        <v>16</v>
      </c>
      <c r="B13" s="1"/>
    </row>
    <row r="14" spans="1:15" ht="43.8" hidden="1" thickBot="1" x14ac:dyDescent="0.35">
      <c r="A14" s="51" t="s">
        <v>1</v>
      </c>
      <c r="B14" s="51"/>
      <c r="C14" s="8" t="s">
        <v>2</v>
      </c>
      <c r="D14" s="8" t="s">
        <v>3</v>
      </c>
      <c r="E14" s="9"/>
      <c r="F14" s="10" t="s">
        <v>4</v>
      </c>
      <c r="G14" s="8" t="s">
        <v>5</v>
      </c>
      <c r="H14" s="8" t="s">
        <v>6</v>
      </c>
      <c r="I14" s="8"/>
      <c r="J14" s="8" t="s">
        <v>7</v>
      </c>
    </row>
    <row r="15" spans="1:15" s="58" customFormat="1" ht="28.05" hidden="1" customHeight="1" x14ac:dyDescent="0.3">
      <c r="A15" s="52" t="s">
        <v>17</v>
      </c>
      <c r="B15" s="53"/>
      <c r="C15" s="54">
        <v>3972752</v>
      </c>
      <c r="D15" s="55">
        <f>2807962.8*1.15</f>
        <v>3229157.2199999997</v>
      </c>
      <c r="E15" s="55"/>
      <c r="F15" s="56">
        <f t="shared" ref="F15:F17" si="3">D15/C15</f>
        <v>0.81282627760303183</v>
      </c>
      <c r="G15" s="57">
        <v>18745218</v>
      </c>
      <c r="H15" s="57">
        <f t="shared" ref="H15:H17" si="4">C15-G15</f>
        <v>-14772466</v>
      </c>
      <c r="I15" s="104"/>
      <c r="J15" s="455" t="s">
        <v>9</v>
      </c>
      <c r="K15" s="6"/>
      <c r="L15" s="6"/>
      <c r="M15" s="6"/>
      <c r="N15" s="6"/>
      <c r="O15" s="6"/>
    </row>
    <row r="16" spans="1:15" ht="25.5" hidden="1" customHeight="1" x14ac:dyDescent="0.3">
      <c r="A16" s="53" t="s">
        <v>18</v>
      </c>
      <c r="B16" s="53"/>
      <c r="C16" s="54">
        <f>'[1]Budget Schedule'!AA916</f>
        <v>13987039</v>
      </c>
      <c r="D16" s="55">
        <v>3463450.5379999992</v>
      </c>
      <c r="E16" s="55"/>
      <c r="F16" s="56">
        <f t="shared" si="3"/>
        <v>0.2476185658737349</v>
      </c>
      <c r="G16" s="59">
        <f>27951918-14882766.33</f>
        <v>13069151.67</v>
      </c>
      <c r="H16" s="59">
        <f t="shared" si="4"/>
        <v>917887.33000000007</v>
      </c>
      <c r="I16" s="272"/>
      <c r="J16" s="456"/>
    </row>
    <row r="17" spans="1:16" ht="24" hidden="1" customHeight="1" thickBot="1" x14ac:dyDescent="0.35">
      <c r="A17" s="60" t="s">
        <v>15</v>
      </c>
      <c r="B17" s="60"/>
      <c r="C17" s="61">
        <f>SUM(C15:C16)</f>
        <v>17959791</v>
      </c>
      <c r="D17" s="61">
        <f>SUM(D15:D16)</f>
        <v>6692607.7579999994</v>
      </c>
      <c r="E17" s="61"/>
      <c r="F17" s="62">
        <f t="shared" si="3"/>
        <v>0.37264396662522409</v>
      </c>
      <c r="G17" s="63">
        <f>SUM(G15:G16)</f>
        <v>31814369.670000002</v>
      </c>
      <c r="H17" s="63">
        <f t="shared" si="4"/>
        <v>-13854578.670000002</v>
      </c>
      <c r="I17" s="63"/>
      <c r="J17" s="63"/>
    </row>
    <row r="18" spans="1:16" ht="15.6" hidden="1" thickTop="1" thickBot="1" x14ac:dyDescent="0.35">
      <c r="A18" s="49"/>
      <c r="B18" s="49"/>
      <c r="C18" s="64"/>
      <c r="D18" s="64"/>
      <c r="E18" s="64"/>
      <c r="F18" s="65"/>
      <c r="G18" s="66"/>
      <c r="H18" s="66"/>
      <c r="I18" s="66"/>
      <c r="J18" s="66"/>
    </row>
    <row r="19" spans="1:16" ht="15" hidden="1" thickBot="1" x14ac:dyDescent="0.35">
      <c r="A19" s="49"/>
      <c r="B19" s="49"/>
      <c r="C19" s="64"/>
      <c r="D19" s="64"/>
      <c r="E19" s="64"/>
      <c r="F19" s="65"/>
      <c r="G19" s="66"/>
      <c r="H19" s="66"/>
      <c r="I19" s="66"/>
      <c r="J19" s="66"/>
    </row>
    <row r="20" spans="1:16" s="73" customFormat="1" ht="43.8" hidden="1" thickBot="1" x14ac:dyDescent="0.35">
      <c r="A20" s="67" t="s">
        <v>19</v>
      </c>
      <c r="B20" s="68"/>
      <c r="C20" s="67" t="s">
        <v>2</v>
      </c>
      <c r="D20" s="67" t="s">
        <v>3</v>
      </c>
      <c r="E20" s="69"/>
      <c r="F20" s="70" t="s">
        <v>4</v>
      </c>
      <c r="G20" s="67" t="s">
        <v>5</v>
      </c>
      <c r="H20" s="67" t="s">
        <v>6</v>
      </c>
      <c r="I20" s="67"/>
      <c r="J20" s="8"/>
      <c r="K20" s="71"/>
      <c r="L20" s="71"/>
      <c r="M20" s="72"/>
      <c r="N20" s="71"/>
      <c r="O20" s="71"/>
    </row>
    <row r="21" spans="1:16" ht="45" hidden="1" customHeight="1" x14ac:dyDescent="0.3">
      <c r="A21" s="74" t="s">
        <v>20</v>
      </c>
      <c r="B21" s="74" t="s">
        <v>21</v>
      </c>
      <c r="C21" s="75">
        <f>'[1]Budget Schedule'!AA1077</f>
        <v>24784906</v>
      </c>
      <c r="D21" s="75">
        <v>20947263.811499998</v>
      </c>
      <c r="E21" s="75"/>
      <c r="F21" s="76">
        <f t="shared" ref="F21:F26" si="5">D21/C21</f>
        <v>0.84516212454063766</v>
      </c>
      <c r="G21" s="77">
        <v>24263796.085999999</v>
      </c>
      <c r="H21" s="77">
        <f t="shared" ref="H21:H27" si="6">C21-G21</f>
        <v>521109.9140000008</v>
      </c>
      <c r="I21" s="273"/>
      <c r="J21" s="78" t="s">
        <v>9</v>
      </c>
      <c r="K21" s="79"/>
      <c r="M21" s="5"/>
      <c r="N21" s="5"/>
      <c r="O21" s="5"/>
    </row>
    <row r="22" spans="1:16" ht="49.95" hidden="1" customHeight="1" x14ac:dyDescent="0.3">
      <c r="A22" s="80" t="s">
        <v>22</v>
      </c>
      <c r="B22" s="80" t="s">
        <v>23</v>
      </c>
      <c r="C22" s="75">
        <f>'[1]Budget Schedule'!AA1066</f>
        <v>32199563</v>
      </c>
      <c r="D22" s="75"/>
      <c r="E22" s="75"/>
      <c r="F22" s="76">
        <f t="shared" si="5"/>
        <v>0</v>
      </c>
      <c r="G22" s="81">
        <v>25761603.763999999</v>
      </c>
      <c r="H22" s="81">
        <f t="shared" si="6"/>
        <v>6437959.2360000014</v>
      </c>
      <c r="I22" s="274"/>
      <c r="J22" s="78" t="s">
        <v>9</v>
      </c>
      <c r="K22" s="79"/>
      <c r="M22" s="5"/>
      <c r="N22" s="5"/>
      <c r="O22" s="5"/>
    </row>
    <row r="23" spans="1:16" ht="43.05" hidden="1" customHeight="1" x14ac:dyDescent="0.3">
      <c r="A23" s="80" t="s">
        <v>24</v>
      </c>
      <c r="B23" s="74" t="s">
        <v>25</v>
      </c>
      <c r="C23" s="75">
        <f>'[1]Budget Schedule'!AA1194</f>
        <v>20660283</v>
      </c>
      <c r="D23" s="75">
        <v>13449090.046499999</v>
      </c>
      <c r="E23" s="75"/>
      <c r="F23" s="76">
        <f t="shared" si="5"/>
        <v>0.65096349582917135</v>
      </c>
      <c r="G23" s="77">
        <v>28770548.851</v>
      </c>
      <c r="H23" s="77">
        <f t="shared" si="6"/>
        <v>-8110265.8509999998</v>
      </c>
      <c r="I23" s="273"/>
      <c r="J23" s="78" t="s">
        <v>9</v>
      </c>
      <c r="K23" s="79"/>
      <c r="M23" s="5"/>
      <c r="N23" s="5"/>
      <c r="O23" s="5"/>
    </row>
    <row r="24" spans="1:16" s="5" customFormat="1" ht="42.45" hidden="1" customHeight="1" x14ac:dyDescent="0.3">
      <c r="A24" s="82" t="s">
        <v>26</v>
      </c>
      <c r="B24" s="82"/>
      <c r="C24" s="83">
        <v>23588505</v>
      </c>
      <c r="D24" s="83">
        <v>14536500.9745</v>
      </c>
      <c r="E24" s="83"/>
      <c r="F24" s="84">
        <f t="shared" si="5"/>
        <v>0.61625359362536969</v>
      </c>
      <c r="G24" s="85">
        <v>0</v>
      </c>
      <c r="H24" s="85">
        <f t="shared" si="6"/>
        <v>23588505</v>
      </c>
      <c r="I24" s="85"/>
      <c r="J24" s="57" t="s">
        <v>27</v>
      </c>
      <c r="K24" s="79"/>
      <c r="M24" s="86"/>
      <c r="N24" s="86"/>
      <c r="O24" s="86"/>
      <c r="P24" s="87">
        <f>O24-N24</f>
        <v>0</v>
      </c>
    </row>
    <row r="25" spans="1:16" ht="51.45" hidden="1" customHeight="1" x14ac:dyDescent="0.3">
      <c r="A25" s="80" t="s">
        <v>28</v>
      </c>
      <c r="B25" s="80" t="s">
        <v>29</v>
      </c>
      <c r="C25" s="75">
        <v>15960560</v>
      </c>
      <c r="D25" s="75">
        <v>12954938.726500001</v>
      </c>
      <c r="E25" s="75"/>
      <c r="F25" s="76">
        <f t="shared" si="5"/>
        <v>0.81168447263128618</v>
      </c>
      <c r="G25" s="85">
        <v>31490681.625</v>
      </c>
      <c r="H25" s="85">
        <f t="shared" si="6"/>
        <v>-15530121.625</v>
      </c>
      <c r="I25" s="275"/>
      <c r="J25" s="78" t="s">
        <v>9</v>
      </c>
      <c r="K25" s="86"/>
      <c r="M25" s="5"/>
      <c r="N25" s="87"/>
      <c r="O25" s="87"/>
    </row>
    <row r="26" spans="1:16" s="94" customFormat="1" ht="43.95" hidden="1" customHeight="1" x14ac:dyDescent="0.3">
      <c r="A26" s="88" t="str">
        <f>'[1]Budget Schedule'!E1238</f>
        <v>Replavement of Asbestos cement pipe (ac)  to HDPE/uPVC water pipes in Marapong (Zone 1) 2</v>
      </c>
      <c r="B26" s="88"/>
      <c r="C26" s="89">
        <f>'[1]Budget Schedule'!AA1238</f>
        <v>6947392</v>
      </c>
      <c r="D26" s="89"/>
      <c r="E26" s="89"/>
      <c r="F26" s="90">
        <f t="shared" si="5"/>
        <v>0</v>
      </c>
      <c r="G26" s="91">
        <v>0</v>
      </c>
      <c r="H26" s="91">
        <f>C26-G26</f>
        <v>6947392</v>
      </c>
      <c r="I26" s="91"/>
      <c r="J26" s="92" t="s">
        <v>27</v>
      </c>
      <c r="K26" s="93"/>
      <c r="N26" s="95"/>
    </row>
    <row r="27" spans="1:16" ht="21.45" hidden="1" customHeight="1" x14ac:dyDescent="0.3">
      <c r="A27" s="52" t="s">
        <v>30</v>
      </c>
      <c r="B27" s="52"/>
      <c r="C27" s="96">
        <f>SUM(C21:C26)</f>
        <v>124141209</v>
      </c>
      <c r="D27" s="96">
        <f t="shared" ref="D27:G27" si="7">SUM(D21:D26)</f>
        <v>61887793.559</v>
      </c>
      <c r="E27" s="96">
        <f t="shared" si="7"/>
        <v>0</v>
      </c>
      <c r="F27" s="96">
        <f t="shared" si="7"/>
        <v>2.9240636866264649</v>
      </c>
      <c r="G27" s="97">
        <f t="shared" si="7"/>
        <v>110286630.32599999</v>
      </c>
      <c r="H27" s="97">
        <f t="shared" si="6"/>
        <v>13854578.67400001</v>
      </c>
      <c r="I27" s="276"/>
      <c r="J27" s="78" t="s">
        <v>9</v>
      </c>
    </row>
    <row r="28" spans="1:16" ht="23.55" hidden="1" customHeight="1" thickBot="1" x14ac:dyDescent="0.35">
      <c r="A28" s="98" t="s">
        <v>31</v>
      </c>
      <c r="B28" s="98"/>
      <c r="C28" s="99">
        <f>C27+C17</f>
        <v>142101000</v>
      </c>
      <c r="D28" s="99">
        <f t="shared" ref="D28:H28" si="8">D27+D17</f>
        <v>68580401.317000002</v>
      </c>
      <c r="E28" s="99">
        <f t="shared" si="8"/>
        <v>0</v>
      </c>
      <c r="F28" s="99">
        <f t="shared" si="8"/>
        <v>3.2967076532516888</v>
      </c>
      <c r="G28" s="99">
        <f t="shared" si="8"/>
        <v>142100999.99599999</v>
      </c>
      <c r="H28" s="99">
        <f t="shared" si="8"/>
        <v>4.0000081062316895E-3</v>
      </c>
      <c r="I28" s="99"/>
      <c r="J28" s="100"/>
    </row>
    <row r="29" spans="1:16" ht="15" hidden="1" thickTop="1" x14ac:dyDescent="0.3">
      <c r="A29" s="49"/>
      <c r="B29" s="49"/>
      <c r="C29" s="101"/>
      <c r="D29" s="102"/>
      <c r="E29" s="102"/>
      <c r="F29" s="103"/>
      <c r="G29" s="104"/>
      <c r="H29" s="104"/>
      <c r="I29" s="104"/>
      <c r="J29" s="104"/>
    </row>
    <row r="30" spans="1:16" hidden="1" x14ac:dyDescent="0.3">
      <c r="A30" s="49"/>
      <c r="B30" s="49"/>
      <c r="C30" s="101"/>
      <c r="D30" s="102" t="s">
        <v>32</v>
      </c>
      <c r="E30" s="102"/>
      <c r="F30" s="103"/>
      <c r="G30" s="104"/>
      <c r="H30" s="104"/>
      <c r="I30" s="104"/>
      <c r="J30" s="104"/>
    </row>
    <row r="31" spans="1:16" ht="15" hidden="1" thickBot="1" x14ac:dyDescent="0.35">
      <c r="A31" s="1" t="s">
        <v>33</v>
      </c>
      <c r="B31" s="1"/>
      <c r="C31" s="64"/>
      <c r="D31" s="64"/>
      <c r="E31" s="64"/>
      <c r="F31" s="65"/>
      <c r="G31" s="66"/>
      <c r="H31" s="66"/>
      <c r="I31" s="66"/>
      <c r="J31" s="66"/>
    </row>
    <row r="32" spans="1:16" ht="43.8" hidden="1" thickBot="1" x14ac:dyDescent="0.35">
      <c r="A32" s="8" t="s">
        <v>1</v>
      </c>
      <c r="B32" s="51"/>
      <c r="C32" s="8" t="s">
        <v>2</v>
      </c>
      <c r="D32" s="8" t="s">
        <v>3</v>
      </c>
      <c r="E32" s="9"/>
      <c r="F32" s="10" t="s">
        <v>4</v>
      </c>
      <c r="G32" s="8" t="s">
        <v>5</v>
      </c>
      <c r="H32" s="8" t="s">
        <v>6</v>
      </c>
      <c r="I32" s="8"/>
      <c r="J32" s="8" t="s">
        <v>7</v>
      </c>
    </row>
    <row r="33" spans="1:15" hidden="1" x14ac:dyDescent="0.3">
      <c r="A33" s="53" t="str">
        <f>'[1]Budget Schedule'!E1068</f>
        <v>Energy Efficiency 5A</v>
      </c>
      <c r="B33" s="53"/>
      <c r="C33" s="54">
        <f>'[1]Budget Schedule'!AA1068</f>
        <v>4000000</v>
      </c>
      <c r="D33" s="55"/>
      <c r="E33" s="55"/>
      <c r="F33" s="56">
        <f t="shared" ref="F33" si="9">D33/C33</f>
        <v>0</v>
      </c>
      <c r="G33" s="59">
        <f>C33</f>
        <v>4000000</v>
      </c>
      <c r="H33" s="59">
        <f t="shared" ref="H33" si="10">C33-G33</f>
        <v>0</v>
      </c>
      <c r="I33" s="59"/>
      <c r="J33" s="59"/>
    </row>
    <row r="34" spans="1:15" ht="15" hidden="1" thickBot="1" x14ac:dyDescent="0.35">
      <c r="A34" s="105" t="s">
        <v>15</v>
      </c>
      <c r="B34" s="106"/>
      <c r="C34" s="107">
        <f>SUM(C32:C33)</f>
        <v>4000000</v>
      </c>
      <c r="D34" s="107">
        <f>SUM(D32:D33)</f>
        <v>0</v>
      </c>
      <c r="E34" s="107">
        <f>SUM(E32:E33)</f>
        <v>0</v>
      </c>
      <c r="F34" s="107">
        <f>SUM(F32:F33)</f>
        <v>0</v>
      </c>
      <c r="G34" s="107">
        <f>SUM(G32:G33)</f>
        <v>4000000</v>
      </c>
      <c r="H34" s="108"/>
      <c r="I34" s="108"/>
      <c r="J34" s="109"/>
    </row>
    <row r="35" spans="1:15" x14ac:dyDescent="0.3">
      <c r="A35" s="49"/>
      <c r="B35" s="49"/>
      <c r="C35" s="101"/>
      <c r="D35" s="102"/>
      <c r="E35" s="102"/>
      <c r="F35" s="103"/>
      <c r="G35" s="104"/>
      <c r="H35" s="104"/>
      <c r="I35" s="104"/>
      <c r="J35" s="104"/>
    </row>
    <row r="36" spans="1:15" x14ac:dyDescent="0.3">
      <c r="A36" s="49"/>
      <c r="B36" s="49"/>
      <c r="C36" s="101"/>
      <c r="D36" s="102"/>
      <c r="E36" s="102"/>
      <c r="F36" s="103"/>
      <c r="G36" s="104"/>
      <c r="H36" s="104"/>
      <c r="I36" s="104"/>
      <c r="J36" s="104"/>
    </row>
    <row r="38" spans="1:15" ht="15" thickBot="1" x14ac:dyDescent="0.35">
      <c r="A38" s="1" t="s">
        <v>34</v>
      </c>
      <c r="B38" s="1"/>
    </row>
    <row r="39" spans="1:15" ht="22.5" customHeight="1" thickBot="1" x14ac:dyDescent="0.35">
      <c r="A39" s="110" t="s">
        <v>1</v>
      </c>
      <c r="B39" s="111"/>
      <c r="C39" s="8" t="s">
        <v>2</v>
      </c>
      <c r="D39" s="8" t="s">
        <v>3</v>
      </c>
      <c r="E39" s="9"/>
      <c r="F39" s="10" t="s">
        <v>4</v>
      </c>
      <c r="G39" s="8" t="s">
        <v>5</v>
      </c>
      <c r="H39" s="8" t="s">
        <v>6</v>
      </c>
      <c r="I39" s="112"/>
      <c r="J39" s="112" t="s">
        <v>7</v>
      </c>
    </row>
    <row r="40" spans="1:15" s="58" customFormat="1" ht="19.05" customHeight="1" x14ac:dyDescent="0.3">
      <c r="A40" s="113" t="s">
        <v>35</v>
      </c>
      <c r="B40" s="114"/>
      <c r="C40" s="115">
        <f>[2]Report!$AA$690</f>
        <v>1000000</v>
      </c>
      <c r="D40" s="115">
        <v>994387.79999999993</v>
      </c>
      <c r="E40" s="115"/>
      <c r="F40" s="116">
        <f t="shared" ref="F40:F65" si="11">D40/C40</f>
        <v>0.99438779999999993</v>
      </c>
      <c r="G40" s="117">
        <v>1300000</v>
      </c>
      <c r="H40" s="117">
        <f t="shared" ref="H40:H64" si="12">C40-G40</f>
        <v>-300000</v>
      </c>
      <c r="I40" s="277"/>
      <c r="J40" s="118" t="s">
        <v>114</v>
      </c>
      <c r="K40" s="6"/>
      <c r="L40" s="6"/>
      <c r="M40" s="6"/>
      <c r="N40" s="6"/>
      <c r="O40" s="6"/>
    </row>
    <row r="41" spans="1:15" s="58" customFormat="1" ht="19.5" customHeight="1" x14ac:dyDescent="0.3">
      <c r="A41" s="114" t="s">
        <v>36</v>
      </c>
      <c r="B41" s="114"/>
      <c r="C41" s="115">
        <f>'[1]Budget Schedule'!AA1069</f>
        <v>2000000</v>
      </c>
      <c r="D41" s="115"/>
      <c r="E41" s="115"/>
      <c r="F41" s="116">
        <f t="shared" si="11"/>
        <v>0</v>
      </c>
      <c r="G41" s="117">
        <f t="shared" ref="G41:G47" si="13">C41</f>
        <v>2000000</v>
      </c>
      <c r="H41" s="117">
        <f t="shared" si="12"/>
        <v>0</v>
      </c>
      <c r="I41" s="277"/>
      <c r="J41" s="118"/>
      <c r="K41" s="6"/>
      <c r="L41" s="6"/>
      <c r="M41" s="6"/>
      <c r="N41" s="6"/>
      <c r="O41" s="6"/>
    </row>
    <row r="42" spans="1:15" s="122" customFormat="1" ht="19.5" customHeight="1" x14ac:dyDescent="0.3">
      <c r="A42" s="119" t="s">
        <v>37</v>
      </c>
      <c r="B42" s="119"/>
      <c r="C42" s="120">
        <v>5425000</v>
      </c>
      <c r="D42" s="120"/>
      <c r="E42" s="120"/>
      <c r="F42" s="121"/>
      <c r="G42" s="117">
        <f>C42</f>
        <v>5425000</v>
      </c>
      <c r="H42" s="117">
        <f t="shared" si="12"/>
        <v>0</v>
      </c>
      <c r="I42" s="277"/>
      <c r="J42" s="118"/>
      <c r="K42" s="6"/>
      <c r="L42" s="6"/>
      <c r="M42" s="6"/>
      <c r="N42" s="6"/>
      <c r="O42" s="6"/>
    </row>
    <row r="43" spans="1:15" ht="18.45" customHeight="1" x14ac:dyDescent="0.3">
      <c r="A43" s="114" t="s">
        <v>38</v>
      </c>
      <c r="B43" s="114"/>
      <c r="C43" s="115">
        <v>1400000</v>
      </c>
      <c r="D43" s="115"/>
      <c r="E43" s="115"/>
      <c r="F43" s="116">
        <f t="shared" si="11"/>
        <v>0</v>
      </c>
      <c r="G43" s="117">
        <f t="shared" si="13"/>
        <v>1400000</v>
      </c>
      <c r="H43" s="117">
        <f t="shared" si="12"/>
        <v>0</v>
      </c>
      <c r="I43" s="277"/>
      <c r="J43" s="118"/>
    </row>
    <row r="44" spans="1:15" ht="43.2" x14ac:dyDescent="0.3">
      <c r="A44" s="29" t="s">
        <v>39</v>
      </c>
      <c r="B44" s="29"/>
      <c r="C44" s="115">
        <f>'[1]Budget Schedule'!AA1242</f>
        <v>300000</v>
      </c>
      <c r="D44" s="115"/>
      <c r="E44" s="115"/>
      <c r="F44" s="116">
        <f t="shared" si="11"/>
        <v>0</v>
      </c>
      <c r="G44" s="117">
        <f t="shared" si="13"/>
        <v>300000</v>
      </c>
      <c r="H44" s="117">
        <f t="shared" si="12"/>
        <v>0</v>
      </c>
      <c r="I44" s="277"/>
      <c r="J44" s="118"/>
    </row>
    <row r="45" spans="1:15" ht="19.05" customHeight="1" x14ac:dyDescent="0.3">
      <c r="A45" s="114" t="s">
        <v>40</v>
      </c>
      <c r="B45" s="114"/>
      <c r="C45" s="115">
        <f>'[1]Budget Schedule'!AA1237</f>
        <v>700000</v>
      </c>
      <c r="D45" s="115">
        <v>686269.57</v>
      </c>
      <c r="E45" s="115"/>
      <c r="F45" s="116">
        <f t="shared" si="11"/>
        <v>0.9803850999999999</v>
      </c>
      <c r="G45" s="117">
        <f t="shared" si="13"/>
        <v>700000</v>
      </c>
      <c r="H45" s="117">
        <f t="shared" si="12"/>
        <v>0</v>
      </c>
      <c r="I45" s="277"/>
      <c r="J45" s="118"/>
    </row>
    <row r="46" spans="1:15" s="58" customFormat="1" ht="43.2" x14ac:dyDescent="0.3">
      <c r="A46" s="29" t="s">
        <v>41</v>
      </c>
      <c r="B46" s="29"/>
      <c r="C46" s="115">
        <f>'[1]Budget Schedule'!AA1241</f>
        <v>1500000</v>
      </c>
      <c r="D46" s="115"/>
      <c r="E46" s="115"/>
      <c r="F46" s="116">
        <f t="shared" si="11"/>
        <v>0</v>
      </c>
      <c r="G46" s="117">
        <f t="shared" si="13"/>
        <v>1500000</v>
      </c>
      <c r="H46" s="117">
        <f t="shared" si="12"/>
        <v>0</v>
      </c>
      <c r="I46" s="277"/>
      <c r="J46" s="118"/>
      <c r="K46" s="6"/>
      <c r="L46" s="6"/>
      <c r="M46" s="6"/>
      <c r="N46" s="6"/>
      <c r="O46" s="6"/>
    </row>
    <row r="47" spans="1:15" ht="43.2" x14ac:dyDescent="0.3">
      <c r="A47" s="123" t="s">
        <v>42</v>
      </c>
      <c r="B47" s="123"/>
      <c r="C47" s="115">
        <f>'[1]Budget Schedule'!AA1240</f>
        <v>1500000</v>
      </c>
      <c r="D47" s="115"/>
      <c r="E47" s="115"/>
      <c r="F47" s="116">
        <f t="shared" si="11"/>
        <v>0</v>
      </c>
      <c r="G47" s="117">
        <f t="shared" si="13"/>
        <v>1500000</v>
      </c>
      <c r="H47" s="117">
        <f t="shared" si="12"/>
        <v>0</v>
      </c>
      <c r="I47" s="277"/>
      <c r="J47" s="118"/>
    </row>
    <row r="48" spans="1:15" s="58" customFormat="1" ht="28.8" x14ac:dyDescent="0.3">
      <c r="A48" s="123" t="s">
        <v>43</v>
      </c>
      <c r="B48" s="123"/>
      <c r="C48" s="115">
        <f>'[1]Budget Schedule'!AA1246</f>
        <v>350000</v>
      </c>
      <c r="D48" s="115"/>
      <c r="E48" s="115"/>
      <c r="F48" s="116">
        <f t="shared" si="11"/>
        <v>0</v>
      </c>
      <c r="G48" s="120">
        <f>C48</f>
        <v>350000</v>
      </c>
      <c r="H48" s="120">
        <f t="shared" si="12"/>
        <v>0</v>
      </c>
      <c r="I48" s="278"/>
      <c r="J48" s="124"/>
      <c r="K48" s="6"/>
      <c r="L48" s="6"/>
      <c r="M48" s="6"/>
      <c r="N48" s="6"/>
      <c r="O48" s="6"/>
    </row>
    <row r="49" spans="1:15" s="58" customFormat="1" ht="28.8" x14ac:dyDescent="0.3">
      <c r="A49" s="123" t="s">
        <v>44</v>
      </c>
      <c r="B49" s="123"/>
      <c r="C49" s="115">
        <f>'[1]Budget Schedule'!AA1247</f>
        <v>350000</v>
      </c>
      <c r="D49" s="115"/>
      <c r="E49" s="115"/>
      <c r="F49" s="116">
        <f t="shared" si="11"/>
        <v>0</v>
      </c>
      <c r="G49" s="120">
        <f>C49</f>
        <v>350000</v>
      </c>
      <c r="H49" s="120">
        <f t="shared" si="12"/>
        <v>0</v>
      </c>
      <c r="I49" s="278"/>
      <c r="J49" s="124"/>
      <c r="K49" s="6"/>
      <c r="L49" s="6"/>
      <c r="M49" s="6"/>
      <c r="N49" s="6"/>
      <c r="O49" s="6"/>
    </row>
    <row r="50" spans="1:15" s="58" customFormat="1" x14ac:dyDescent="0.3">
      <c r="A50" s="123" t="s">
        <v>45</v>
      </c>
      <c r="B50" s="123"/>
      <c r="C50" s="115">
        <f>'[1]Budget Schedule'!AA1371</f>
        <v>200000</v>
      </c>
      <c r="D50" s="115">
        <v>191900</v>
      </c>
      <c r="E50" s="115"/>
      <c r="F50" s="116">
        <f t="shared" si="11"/>
        <v>0.95950000000000002</v>
      </c>
      <c r="G50" s="117">
        <f t="shared" ref="G50:G56" si="14">C50</f>
        <v>200000</v>
      </c>
      <c r="H50" s="117">
        <f t="shared" si="12"/>
        <v>0</v>
      </c>
      <c r="I50" s="277"/>
      <c r="J50" s="118"/>
      <c r="K50" s="6"/>
      <c r="L50" s="6"/>
      <c r="M50" s="6"/>
      <c r="N50" s="6"/>
      <c r="O50" s="6"/>
    </row>
    <row r="51" spans="1:15" s="58" customFormat="1" x14ac:dyDescent="0.3">
      <c r="A51" s="123" t="s">
        <v>46</v>
      </c>
      <c r="B51" s="123"/>
      <c r="C51" s="115">
        <f>'[1]Budget Schedule'!AA1372</f>
        <v>1000000</v>
      </c>
      <c r="D51" s="115"/>
      <c r="E51" s="115"/>
      <c r="F51" s="116">
        <f t="shared" si="11"/>
        <v>0</v>
      </c>
      <c r="G51" s="117">
        <f t="shared" si="14"/>
        <v>1000000</v>
      </c>
      <c r="H51" s="117">
        <f t="shared" si="12"/>
        <v>0</v>
      </c>
      <c r="I51" s="277"/>
      <c r="J51" s="118"/>
      <c r="K51" s="6"/>
      <c r="L51" s="6"/>
      <c r="M51" s="6"/>
      <c r="N51" s="6"/>
      <c r="O51" s="6"/>
    </row>
    <row r="52" spans="1:15" s="58" customFormat="1" ht="28.5" customHeight="1" x14ac:dyDescent="0.3">
      <c r="A52" s="125" t="s">
        <v>47</v>
      </c>
      <c r="B52" s="123"/>
      <c r="C52" s="115">
        <v>7900000</v>
      </c>
      <c r="D52" s="115"/>
      <c r="E52" s="115"/>
      <c r="F52" s="116"/>
      <c r="G52" s="115">
        <v>7900000</v>
      </c>
      <c r="H52" s="117"/>
      <c r="I52" s="277"/>
      <c r="J52" s="118"/>
      <c r="K52" s="6"/>
      <c r="L52" s="6"/>
      <c r="M52" s="6"/>
      <c r="N52" s="6"/>
      <c r="O52" s="6"/>
    </row>
    <row r="53" spans="1:15" s="58" customFormat="1" x14ac:dyDescent="0.3">
      <c r="A53" s="123" t="s">
        <v>48</v>
      </c>
      <c r="B53" s="123"/>
      <c r="C53" s="115">
        <f>'[1]Budget Schedule'!AA1374</f>
        <v>3256200</v>
      </c>
      <c r="D53" s="115">
        <v>1592030.2615</v>
      </c>
      <c r="E53" s="115"/>
      <c r="F53" s="116">
        <f t="shared" si="11"/>
        <v>0.48892275090596399</v>
      </c>
      <c r="G53" s="117">
        <f t="shared" si="14"/>
        <v>3256200</v>
      </c>
      <c r="H53" s="117">
        <f t="shared" si="12"/>
        <v>0</v>
      </c>
      <c r="I53" s="277"/>
      <c r="J53" s="118"/>
      <c r="K53" s="6"/>
      <c r="L53" s="6"/>
      <c r="M53" s="6"/>
      <c r="N53" s="6"/>
      <c r="O53" s="6"/>
    </row>
    <row r="54" spans="1:15" s="58" customFormat="1" ht="49.95" customHeight="1" x14ac:dyDescent="0.3">
      <c r="A54" s="123" t="s">
        <v>49</v>
      </c>
      <c r="B54" s="123"/>
      <c r="C54" s="115">
        <f>'[1]Budget Schedule'!AA1377</f>
        <v>400000</v>
      </c>
      <c r="D54" s="115">
        <v>394350</v>
      </c>
      <c r="E54" s="115"/>
      <c r="F54" s="116">
        <f t="shared" si="11"/>
        <v>0.98587499999999995</v>
      </c>
      <c r="G54" s="117">
        <f t="shared" si="14"/>
        <v>400000</v>
      </c>
      <c r="H54" s="117">
        <f t="shared" si="12"/>
        <v>0</v>
      </c>
      <c r="I54" s="277"/>
      <c r="J54" s="118"/>
      <c r="K54" s="6"/>
      <c r="L54" s="6"/>
      <c r="M54" s="6"/>
      <c r="N54" s="6"/>
      <c r="O54" s="6"/>
    </row>
    <row r="55" spans="1:15" s="321" customFormat="1" ht="19.5" customHeight="1" x14ac:dyDescent="0.3">
      <c r="A55" s="315" t="s">
        <v>50</v>
      </c>
      <c r="B55" s="315"/>
      <c r="C55" s="316">
        <f>'[1]Budget Schedule'!AA1379</f>
        <v>1500000</v>
      </c>
      <c r="D55" s="316"/>
      <c r="E55" s="316"/>
      <c r="F55" s="317">
        <f t="shared" si="11"/>
        <v>0</v>
      </c>
      <c r="G55" s="318">
        <f t="shared" si="14"/>
        <v>1500000</v>
      </c>
      <c r="H55" s="318">
        <f t="shared" si="12"/>
        <v>0</v>
      </c>
      <c r="I55" s="319"/>
      <c r="J55" s="320"/>
      <c r="M55" s="322"/>
      <c r="N55" s="322"/>
      <c r="O55" s="322"/>
    </row>
    <row r="56" spans="1:15" s="322" customFormat="1" ht="28.8" x14ac:dyDescent="0.3">
      <c r="A56" s="315" t="s">
        <v>51</v>
      </c>
      <c r="B56" s="315"/>
      <c r="C56" s="316">
        <f>'[1]Budget Schedule'!AA1381</f>
        <v>200000</v>
      </c>
      <c r="D56" s="316"/>
      <c r="E56" s="316"/>
      <c r="F56" s="317">
        <f t="shared" si="11"/>
        <v>0</v>
      </c>
      <c r="G56" s="318">
        <f t="shared" si="14"/>
        <v>200000</v>
      </c>
      <c r="H56" s="318">
        <f t="shared" si="12"/>
        <v>0</v>
      </c>
      <c r="I56" s="319"/>
      <c r="J56" s="320"/>
    </row>
    <row r="57" spans="1:15" s="322" customFormat="1" ht="25.05" customHeight="1" x14ac:dyDescent="0.3">
      <c r="A57" s="315" t="s">
        <v>52</v>
      </c>
      <c r="B57" s="315"/>
      <c r="C57" s="316">
        <f>'[1]Budget Schedule'!AA1382</f>
        <v>50000</v>
      </c>
      <c r="D57" s="316"/>
      <c r="E57" s="316"/>
      <c r="F57" s="317">
        <f t="shared" si="11"/>
        <v>0</v>
      </c>
      <c r="G57" s="318">
        <v>200000</v>
      </c>
      <c r="H57" s="318">
        <f t="shared" si="12"/>
        <v>-150000</v>
      </c>
      <c r="I57" s="319"/>
      <c r="J57" s="320" t="s">
        <v>53</v>
      </c>
    </row>
    <row r="58" spans="1:15" s="322" customFormat="1" x14ac:dyDescent="0.3">
      <c r="A58" s="315" t="s">
        <v>54</v>
      </c>
      <c r="B58" s="315"/>
      <c r="C58" s="316">
        <f>'[1]Budget Schedule'!AA1383</f>
        <v>90000</v>
      </c>
      <c r="D58" s="316"/>
      <c r="E58" s="316"/>
      <c r="F58" s="317">
        <f t="shared" si="11"/>
        <v>0</v>
      </c>
      <c r="G58" s="318">
        <f t="shared" ref="G58:G64" si="15">C58</f>
        <v>90000</v>
      </c>
      <c r="H58" s="318">
        <f t="shared" si="12"/>
        <v>0</v>
      </c>
      <c r="I58" s="319"/>
      <c r="J58" s="320"/>
      <c r="K58" s="324">
        <f>350000*1.3</f>
        <v>455000</v>
      </c>
    </row>
    <row r="59" spans="1:15" s="322" customFormat="1" x14ac:dyDescent="0.3">
      <c r="A59" s="315" t="s">
        <v>55</v>
      </c>
      <c r="B59" s="315"/>
      <c r="C59" s="316">
        <f>'[1]Budget Schedule'!AA1384</f>
        <v>18000</v>
      </c>
      <c r="D59" s="316">
        <v>15950</v>
      </c>
      <c r="E59" s="316"/>
      <c r="F59" s="317">
        <f t="shared" si="11"/>
        <v>0.88611111111111107</v>
      </c>
      <c r="G59" s="318">
        <f t="shared" si="15"/>
        <v>18000</v>
      </c>
      <c r="H59" s="318">
        <f t="shared" si="12"/>
        <v>0</v>
      </c>
      <c r="I59" s="319"/>
      <c r="J59" s="320"/>
    </row>
    <row r="60" spans="1:15" s="322" customFormat="1" x14ac:dyDescent="0.3">
      <c r="A60" s="315" t="s">
        <v>56</v>
      </c>
      <c r="B60" s="315"/>
      <c r="C60" s="316">
        <f>'[1]Budget Schedule'!AA1385</f>
        <v>20000</v>
      </c>
      <c r="D60" s="316"/>
      <c r="E60" s="316"/>
      <c r="F60" s="317">
        <f t="shared" si="11"/>
        <v>0</v>
      </c>
      <c r="G60" s="318">
        <f t="shared" si="15"/>
        <v>20000</v>
      </c>
      <c r="H60" s="318">
        <f t="shared" si="12"/>
        <v>0</v>
      </c>
      <c r="I60" s="319"/>
      <c r="J60" s="320"/>
    </row>
    <row r="61" spans="1:15" s="322" customFormat="1" x14ac:dyDescent="0.3">
      <c r="A61" s="315" t="s">
        <v>57</v>
      </c>
      <c r="B61" s="315"/>
      <c r="C61" s="316">
        <f>'[1]Budget Schedule'!AA1386</f>
        <v>30000</v>
      </c>
      <c r="D61" s="316">
        <v>63652.41</v>
      </c>
      <c r="E61" s="316"/>
      <c r="F61" s="317">
        <f t="shared" si="11"/>
        <v>2.121747</v>
      </c>
      <c r="G61" s="318">
        <f t="shared" si="15"/>
        <v>30000</v>
      </c>
      <c r="H61" s="318">
        <f t="shared" si="12"/>
        <v>0</v>
      </c>
      <c r="I61" s="319"/>
      <c r="J61" s="320"/>
    </row>
    <row r="62" spans="1:15" s="322" customFormat="1" x14ac:dyDescent="0.3">
      <c r="A62" s="315" t="s">
        <v>58</v>
      </c>
      <c r="B62" s="315"/>
      <c r="C62" s="316">
        <v>200000</v>
      </c>
      <c r="D62" s="316"/>
      <c r="E62" s="316"/>
      <c r="F62" s="317"/>
      <c r="G62" s="318">
        <v>0</v>
      </c>
      <c r="H62" s="318">
        <f>C62-G62</f>
        <v>200000</v>
      </c>
      <c r="I62" s="319"/>
      <c r="J62" s="320"/>
    </row>
    <row r="63" spans="1:15" s="322" customFormat="1" x14ac:dyDescent="0.3">
      <c r="A63" s="315" t="s">
        <v>59</v>
      </c>
      <c r="B63" s="315"/>
      <c r="C63" s="316">
        <v>150000</v>
      </c>
      <c r="D63" s="316"/>
      <c r="E63" s="316"/>
      <c r="F63" s="317"/>
      <c r="G63" s="318">
        <v>150000</v>
      </c>
      <c r="H63" s="318"/>
      <c r="I63" s="319"/>
      <c r="J63" s="320"/>
    </row>
    <row r="64" spans="1:15" s="321" customFormat="1" ht="19.05" customHeight="1" x14ac:dyDescent="0.3">
      <c r="A64" s="323" t="s">
        <v>60</v>
      </c>
      <c r="B64" s="323"/>
      <c r="C64" s="316">
        <v>550000</v>
      </c>
      <c r="D64" s="316">
        <v>16242.35</v>
      </c>
      <c r="E64" s="316"/>
      <c r="F64" s="317">
        <f t="shared" si="11"/>
        <v>2.9531545454545456E-2</v>
      </c>
      <c r="G64" s="318">
        <f t="shared" si="15"/>
        <v>550000</v>
      </c>
      <c r="H64" s="318">
        <f t="shared" si="12"/>
        <v>0</v>
      </c>
      <c r="I64" s="319"/>
      <c r="J64" s="320"/>
      <c r="M64" s="322"/>
      <c r="N64" s="322"/>
      <c r="O64" s="322"/>
    </row>
    <row r="65" spans="1:10" ht="19.5" customHeight="1" thickBot="1" x14ac:dyDescent="0.35">
      <c r="A65" s="126" t="s">
        <v>15</v>
      </c>
      <c r="B65" s="126"/>
      <c r="C65" s="127">
        <f>SUM(C40:C64)</f>
        <v>30089200</v>
      </c>
      <c r="D65" s="127">
        <f>SUM(D40:D64)</f>
        <v>3954782.3915000004</v>
      </c>
      <c r="E65" s="127"/>
      <c r="F65" s="128">
        <f t="shared" si="11"/>
        <v>0.13143527882097233</v>
      </c>
      <c r="G65" s="127">
        <f>SUM(G40:G64)</f>
        <v>30339200</v>
      </c>
      <c r="H65" s="129">
        <f>SUM(H40:H64)</f>
        <v>-250000</v>
      </c>
      <c r="I65" s="279"/>
      <c r="J65" s="130"/>
    </row>
    <row r="67" spans="1:10" ht="15" thickBot="1" x14ac:dyDescent="0.35">
      <c r="A67" s="49" t="s">
        <v>61</v>
      </c>
      <c r="B67" s="49"/>
    </row>
    <row r="68" spans="1:10" ht="43.8" thickBot="1" x14ac:dyDescent="0.35">
      <c r="A68" s="131" t="s">
        <v>1</v>
      </c>
      <c r="B68" s="131"/>
      <c r="C68" s="8" t="s">
        <v>2</v>
      </c>
      <c r="D68" s="8" t="s">
        <v>3</v>
      </c>
      <c r="E68" s="9"/>
      <c r="F68" s="10" t="s">
        <v>4</v>
      </c>
      <c r="G68" s="8" t="s">
        <v>5</v>
      </c>
      <c r="H68" s="8" t="s">
        <v>6</v>
      </c>
      <c r="I68" s="8"/>
      <c r="J68" s="8" t="s">
        <v>62</v>
      </c>
    </row>
    <row r="69" spans="1:10" x14ac:dyDescent="0.3">
      <c r="A69" s="132" t="s">
        <v>63</v>
      </c>
      <c r="B69" s="132"/>
      <c r="C69" s="133">
        <f t="shared" ref="C69:H69" si="16">C11</f>
        <v>47903750</v>
      </c>
      <c r="D69" s="134">
        <f t="shared" si="16"/>
        <v>7665445.692499999</v>
      </c>
      <c r="E69" s="134">
        <f t="shared" si="16"/>
        <v>0</v>
      </c>
      <c r="F69" s="134">
        <f t="shared" si="16"/>
        <v>0.45862493207336474</v>
      </c>
      <c r="G69" s="133">
        <f t="shared" si="16"/>
        <v>47903750</v>
      </c>
      <c r="H69" s="133">
        <f t="shared" si="16"/>
        <v>0</v>
      </c>
      <c r="I69" s="133"/>
      <c r="J69" s="135"/>
    </row>
    <row r="70" spans="1:10" x14ac:dyDescent="0.3">
      <c r="A70" s="136" t="s">
        <v>64</v>
      </c>
      <c r="B70" s="136"/>
      <c r="C70" s="137">
        <f t="shared" ref="C70:H70" si="17">C28</f>
        <v>142101000</v>
      </c>
      <c r="D70" s="138">
        <f t="shared" si="17"/>
        <v>68580401.317000002</v>
      </c>
      <c r="E70" s="138">
        <f t="shared" si="17"/>
        <v>0</v>
      </c>
      <c r="F70" s="138">
        <f t="shared" si="17"/>
        <v>3.2967076532516888</v>
      </c>
      <c r="G70" s="137">
        <f t="shared" si="17"/>
        <v>142100999.99599999</v>
      </c>
      <c r="H70" s="137">
        <f t="shared" si="17"/>
        <v>4.0000081062316895E-3</v>
      </c>
      <c r="I70" s="137"/>
      <c r="J70" s="139"/>
    </row>
    <row r="71" spans="1:10" x14ac:dyDescent="0.3">
      <c r="A71" s="136" t="s">
        <v>65</v>
      </c>
      <c r="B71" s="136"/>
      <c r="C71" s="137">
        <f>C33</f>
        <v>4000000</v>
      </c>
      <c r="D71" s="138">
        <v>0</v>
      </c>
      <c r="E71" s="138"/>
      <c r="F71" s="140">
        <f t="shared" ref="F71" si="18">D71/C71</f>
        <v>0</v>
      </c>
      <c r="G71" s="137">
        <v>4000000</v>
      </c>
      <c r="H71" s="141">
        <f>C71-G71</f>
        <v>0</v>
      </c>
      <c r="I71" s="141"/>
      <c r="J71" s="142"/>
    </row>
    <row r="72" spans="1:10" ht="33.450000000000003" customHeight="1" thickBot="1" x14ac:dyDescent="0.35">
      <c r="A72" s="143" t="s">
        <v>66</v>
      </c>
      <c r="B72" s="143"/>
      <c r="C72" s="144">
        <f>C65</f>
        <v>30089200</v>
      </c>
      <c r="D72" s="145">
        <f>D65</f>
        <v>3954782.3915000004</v>
      </c>
      <c r="E72" s="145">
        <f t="shared" ref="E72:G72" si="19">E65</f>
        <v>0</v>
      </c>
      <c r="F72" s="145">
        <f t="shared" si="19"/>
        <v>0.13143527882097233</v>
      </c>
      <c r="G72" s="144">
        <f t="shared" si="19"/>
        <v>30339200</v>
      </c>
      <c r="H72" s="144">
        <f>C72-G72</f>
        <v>-250000</v>
      </c>
      <c r="I72" s="144"/>
      <c r="J72" s="146" t="s">
        <v>67</v>
      </c>
    </row>
    <row r="73" spans="1:10" ht="15" thickBot="1" x14ac:dyDescent="0.35">
      <c r="A73" s="147" t="s">
        <v>15</v>
      </c>
      <c r="B73" s="147"/>
      <c r="C73" s="148">
        <f>SUM(C69:C72)</f>
        <v>224093950</v>
      </c>
      <c r="D73" s="149">
        <f>SUM(D69:D72)</f>
        <v>80200629.400999993</v>
      </c>
      <c r="E73" s="149">
        <f t="shared" ref="E73:H73" si="20">SUM(E69:E72)</f>
        <v>0</v>
      </c>
      <c r="F73" s="149">
        <f t="shared" si="20"/>
        <v>3.8867678641460257</v>
      </c>
      <c r="G73" s="148">
        <f t="shared" si="20"/>
        <v>224343949.99599999</v>
      </c>
      <c r="H73" s="148">
        <f t="shared" si="20"/>
        <v>-249999.99599999189</v>
      </c>
      <c r="I73" s="148"/>
      <c r="J73" s="150"/>
    </row>
    <row r="74" spans="1:10" x14ac:dyDescent="0.3">
      <c r="A74" s="49"/>
      <c r="B74" s="49"/>
      <c r="C74" s="151"/>
      <c r="D74" s="151"/>
      <c r="E74" s="151"/>
      <c r="F74" s="152"/>
      <c r="G74" s="153"/>
      <c r="H74" s="153"/>
      <c r="I74" s="153"/>
      <c r="J74" s="66"/>
    </row>
    <row r="75" spans="1:10" ht="19.95" customHeight="1" thickBot="1" x14ac:dyDescent="0.35">
      <c r="A75" s="49" t="s">
        <v>68</v>
      </c>
      <c r="B75" s="49"/>
      <c r="C75" s="151"/>
      <c r="D75" s="151"/>
      <c r="E75" s="151"/>
      <c r="F75" s="154"/>
      <c r="G75" s="155"/>
      <c r="H75" s="155"/>
      <c r="I75" s="155"/>
      <c r="J75" s="156"/>
    </row>
    <row r="76" spans="1:10" ht="31.95" customHeight="1" thickBot="1" x14ac:dyDescent="0.35">
      <c r="A76" s="157" t="s">
        <v>1</v>
      </c>
      <c r="B76" s="158"/>
      <c r="C76" s="159" t="s">
        <v>2</v>
      </c>
      <c r="D76" s="159" t="s">
        <v>3</v>
      </c>
      <c r="E76" s="160"/>
      <c r="F76" s="161" t="s">
        <v>4</v>
      </c>
      <c r="G76" s="159" t="s">
        <v>5</v>
      </c>
      <c r="H76" s="159" t="s">
        <v>6</v>
      </c>
      <c r="I76" s="159"/>
      <c r="J76" s="8" t="s">
        <v>62</v>
      </c>
    </row>
    <row r="77" spans="1:10" hidden="1" x14ac:dyDescent="0.3">
      <c r="A77" s="136" t="s">
        <v>63</v>
      </c>
      <c r="B77" s="162"/>
      <c r="C77" s="163"/>
      <c r="D77" s="163">
        <f>'[1]Roll Over Projects '!C3</f>
        <v>0</v>
      </c>
      <c r="E77" s="163"/>
      <c r="F77" s="164"/>
      <c r="G77" s="165"/>
      <c r="H77" s="165"/>
      <c r="I77" s="280"/>
      <c r="J77" s="166"/>
    </row>
    <row r="78" spans="1:10" ht="22.5" customHeight="1" x14ac:dyDescent="0.35">
      <c r="A78" s="167" t="s">
        <v>69</v>
      </c>
      <c r="B78" s="167"/>
      <c r="C78" s="168">
        <v>7600000</v>
      </c>
      <c r="D78" s="169">
        <f>'[1]Roll Over Projects '!C35</f>
        <v>297123.7</v>
      </c>
      <c r="E78" s="169"/>
      <c r="F78" s="170">
        <f>D78/C78</f>
        <v>3.9095223684210527E-2</v>
      </c>
      <c r="G78" s="168">
        <f>C78</f>
        <v>7600000</v>
      </c>
      <c r="H78" s="171">
        <f>C78-G78</f>
        <v>0</v>
      </c>
      <c r="I78" s="171"/>
      <c r="J78" s="172"/>
    </row>
    <row r="79" spans="1:10" ht="60.45" customHeight="1" thickBot="1" x14ac:dyDescent="0.35">
      <c r="A79" s="173" t="s">
        <v>66</v>
      </c>
      <c r="B79" s="174"/>
      <c r="C79" s="175">
        <v>15952721.18</v>
      </c>
      <c r="D79" s="176">
        <v>5603523</v>
      </c>
      <c r="E79" s="177"/>
      <c r="F79" s="178">
        <v>0.35125812936699241</v>
      </c>
      <c r="G79" s="175">
        <v>14222721.18</v>
      </c>
      <c r="H79" s="175">
        <f t="shared" ref="H79:H80" si="21">C79-G79</f>
        <v>1730000</v>
      </c>
      <c r="I79" s="281"/>
      <c r="J79" s="179" t="s">
        <v>70</v>
      </c>
    </row>
    <row r="80" spans="1:10" ht="22.95" customHeight="1" thickBot="1" x14ac:dyDescent="0.4">
      <c r="A80" s="180" t="s">
        <v>15</v>
      </c>
      <c r="B80" s="181"/>
      <c r="C80" s="182">
        <f>C77+C79+C78</f>
        <v>23552721.18</v>
      </c>
      <c r="D80" s="183">
        <f>SUM(D77:D79)</f>
        <v>5900646.7000000002</v>
      </c>
      <c r="E80" s="183">
        <f t="shared" ref="E80:G80" si="22">SUM(E77:E79)</f>
        <v>0</v>
      </c>
      <c r="F80" s="183">
        <f t="shared" si="22"/>
        <v>0.39035335305120294</v>
      </c>
      <c r="G80" s="182">
        <f t="shared" si="22"/>
        <v>21822721.18</v>
      </c>
      <c r="H80" s="182">
        <f t="shared" si="21"/>
        <v>1730000</v>
      </c>
      <c r="I80" s="282"/>
      <c r="J80" s="184"/>
    </row>
    <row r="81" spans="1:15" ht="36.6" thickBot="1" x14ac:dyDescent="0.4">
      <c r="A81" s="185" t="s">
        <v>71</v>
      </c>
      <c r="B81" s="181"/>
      <c r="C81" s="182">
        <f>C80+C73</f>
        <v>247646671.18000001</v>
      </c>
      <c r="D81" s="183">
        <f t="shared" ref="D81:H81" si="23">D80+D73</f>
        <v>86101276.100999996</v>
      </c>
      <c r="E81" s="183">
        <f t="shared" si="23"/>
        <v>0</v>
      </c>
      <c r="F81" s="183">
        <f t="shared" si="23"/>
        <v>4.2771212171972284</v>
      </c>
      <c r="G81" s="182">
        <f t="shared" si="23"/>
        <v>246166671.176</v>
      </c>
      <c r="H81" s="182">
        <f t="shared" si="23"/>
        <v>1480000.0040000081</v>
      </c>
      <c r="I81" s="282"/>
      <c r="J81" s="184"/>
    </row>
    <row r="83" spans="1:15" ht="21.6" thickBot="1" x14ac:dyDescent="0.45">
      <c r="A83" s="186" t="s">
        <v>71</v>
      </c>
      <c r="B83" s="49"/>
      <c r="C83" s="64"/>
      <c r="D83" s="64"/>
      <c r="E83" s="64"/>
      <c r="F83" s="187"/>
      <c r="G83" s="156"/>
      <c r="H83" s="156"/>
      <c r="I83" s="156"/>
      <c r="J83" s="156"/>
    </row>
    <row r="84" spans="1:15" s="193" customFormat="1" ht="49.05" customHeight="1" thickBot="1" x14ac:dyDescent="0.35">
      <c r="A84" s="188" t="s">
        <v>1</v>
      </c>
      <c r="B84" s="188"/>
      <c r="C84" s="189" t="s">
        <v>2</v>
      </c>
      <c r="D84" s="189" t="s">
        <v>3</v>
      </c>
      <c r="E84" s="190"/>
      <c r="F84" s="191" t="s">
        <v>4</v>
      </c>
      <c r="G84" s="189" t="s">
        <v>5</v>
      </c>
      <c r="H84" s="189" t="s">
        <v>6</v>
      </c>
      <c r="I84" s="189"/>
      <c r="J84" s="189" t="s">
        <v>7</v>
      </c>
      <c r="K84" s="94"/>
      <c r="L84" s="94"/>
      <c r="M84" s="192"/>
      <c r="N84" s="192"/>
      <c r="O84" s="192"/>
    </row>
    <row r="85" spans="1:15" ht="30.45" customHeight="1" thickBot="1" x14ac:dyDescent="0.45">
      <c r="A85" s="194" t="s">
        <v>63</v>
      </c>
      <c r="B85" s="195"/>
      <c r="C85" s="196">
        <f>C11</f>
        <v>47903750</v>
      </c>
      <c r="D85" s="196">
        <f>D11</f>
        <v>7665445.692499999</v>
      </c>
      <c r="E85" s="197"/>
      <c r="F85" s="198">
        <f t="shared" ref="F85:F87" si="24">D85/C85</f>
        <v>0.16001765399368523</v>
      </c>
      <c r="G85" s="199">
        <f>G11</f>
        <v>47903750</v>
      </c>
      <c r="H85" s="199">
        <f>C85-G85</f>
        <v>0</v>
      </c>
      <c r="I85" s="199"/>
      <c r="J85" s="200"/>
    </row>
    <row r="86" spans="1:15" ht="25.5" customHeight="1" thickBot="1" x14ac:dyDescent="0.45">
      <c r="A86" s="194" t="s">
        <v>72</v>
      </c>
      <c r="B86" s="195"/>
      <c r="C86" s="196">
        <f>C71</f>
        <v>4000000</v>
      </c>
      <c r="D86" s="196">
        <f>D71</f>
        <v>0</v>
      </c>
      <c r="E86" s="197"/>
      <c r="F86" s="198">
        <f t="shared" si="24"/>
        <v>0</v>
      </c>
      <c r="G86" s="199">
        <v>4000000</v>
      </c>
      <c r="H86" s="199">
        <f t="shared" ref="H86:H88" si="25">C86-G86</f>
        <v>0</v>
      </c>
      <c r="I86" s="199"/>
      <c r="J86" s="200"/>
    </row>
    <row r="87" spans="1:15" ht="28.5" customHeight="1" thickBot="1" x14ac:dyDescent="0.45">
      <c r="A87" s="194" t="s">
        <v>73</v>
      </c>
      <c r="B87" s="195"/>
      <c r="C87" s="196">
        <f>C28</f>
        <v>142101000</v>
      </c>
      <c r="D87" s="196">
        <f>D28</f>
        <v>68580401.317000002</v>
      </c>
      <c r="E87" s="197"/>
      <c r="F87" s="198">
        <f t="shared" si="24"/>
        <v>0.48261730260167063</v>
      </c>
      <c r="G87" s="199">
        <f>G28</f>
        <v>142100999.99599999</v>
      </c>
      <c r="H87" s="199">
        <v>0</v>
      </c>
      <c r="I87" s="199"/>
      <c r="J87" s="201"/>
      <c r="K87" s="87"/>
    </row>
    <row r="88" spans="1:15" ht="23.55" customHeight="1" thickBot="1" x14ac:dyDescent="0.45">
      <c r="A88" s="194" t="s">
        <v>74</v>
      </c>
      <c r="B88" s="195"/>
      <c r="C88" s="196">
        <f>C78</f>
        <v>7600000</v>
      </c>
      <c r="D88" s="196">
        <f>D78</f>
        <v>297123.7</v>
      </c>
      <c r="E88" s="197"/>
      <c r="F88" s="198">
        <f>D88/C88</f>
        <v>3.9095223684210527E-2</v>
      </c>
      <c r="G88" s="199">
        <v>7600000</v>
      </c>
      <c r="H88" s="199">
        <f t="shared" si="25"/>
        <v>0</v>
      </c>
      <c r="I88" s="199"/>
      <c r="J88" s="200"/>
      <c r="K88" s="87"/>
    </row>
    <row r="89" spans="1:15" s="193" customFormat="1" ht="68.55" customHeight="1" thickBot="1" x14ac:dyDescent="0.35">
      <c r="A89" s="202" t="s">
        <v>66</v>
      </c>
      <c r="B89" s="203"/>
      <c r="C89" s="204">
        <f t="shared" ref="C89:H89" si="26">C79+C72</f>
        <v>46041921.18</v>
      </c>
      <c r="D89" s="204">
        <f t="shared" si="26"/>
        <v>9558305.3914999999</v>
      </c>
      <c r="E89" s="204">
        <f t="shared" si="26"/>
        <v>0</v>
      </c>
      <c r="F89" s="204">
        <f t="shared" si="26"/>
        <v>0.48269340818796475</v>
      </c>
      <c r="G89" s="204">
        <f t="shared" si="26"/>
        <v>44561921.18</v>
      </c>
      <c r="H89" s="204">
        <f t="shared" si="26"/>
        <v>1480000</v>
      </c>
      <c r="I89" s="283"/>
      <c r="J89" s="205" t="s">
        <v>75</v>
      </c>
      <c r="K89" s="94"/>
      <c r="L89" s="94"/>
      <c r="M89" s="192"/>
      <c r="N89" s="192"/>
      <c r="O89" s="192"/>
    </row>
    <row r="90" spans="1:15" ht="21" customHeight="1" thickBot="1" x14ac:dyDescent="0.45">
      <c r="A90" s="206" t="s">
        <v>76</v>
      </c>
      <c r="B90" s="207"/>
      <c r="C90" s="208">
        <f>SUM(C85:C89)</f>
        <v>247646671.18000001</v>
      </c>
      <c r="D90" s="208">
        <f t="shared" ref="D90:H90" si="27">SUM(D85:D89)</f>
        <v>86101276.100999996</v>
      </c>
      <c r="E90" s="208">
        <f t="shared" si="27"/>
        <v>0</v>
      </c>
      <c r="F90" s="208">
        <f t="shared" si="27"/>
        <v>1.1644235884675311</v>
      </c>
      <c r="G90" s="208">
        <f t="shared" si="27"/>
        <v>246166671.176</v>
      </c>
      <c r="H90" s="208">
        <f t="shared" si="27"/>
        <v>1480000</v>
      </c>
      <c r="I90" s="284"/>
      <c r="J90" s="209"/>
    </row>
    <row r="91" spans="1:15" ht="21" x14ac:dyDescent="0.4">
      <c r="C91" s="211"/>
      <c r="D91" s="211"/>
      <c r="E91" s="211"/>
      <c r="F91" s="212"/>
      <c r="G91" s="213"/>
      <c r="H91" s="213"/>
      <c r="I91" s="213"/>
    </row>
    <row r="93" spans="1:15" hidden="1" x14ac:dyDescent="0.3">
      <c r="A93" s="49" t="s">
        <v>77</v>
      </c>
      <c r="B93" s="49"/>
    </row>
    <row r="94" spans="1:15" hidden="1" x14ac:dyDescent="0.3">
      <c r="A94" s="53" t="s">
        <v>78</v>
      </c>
      <c r="B94" s="53"/>
      <c r="C94" s="55">
        <v>213412</v>
      </c>
      <c r="D94" s="55">
        <v>211412</v>
      </c>
      <c r="E94" s="55"/>
      <c r="F94" s="56">
        <f t="shared" ref="F94:F98" si="28">D94/C94</f>
        <v>0.99062845575693959</v>
      </c>
      <c r="G94" s="57">
        <f>C94</f>
        <v>213412</v>
      </c>
      <c r="H94" s="57"/>
      <c r="I94" s="57"/>
      <c r="J94" s="57"/>
    </row>
    <row r="95" spans="1:15" hidden="1" x14ac:dyDescent="0.3">
      <c r="A95" s="53" t="s">
        <v>79</v>
      </c>
      <c r="B95" s="53"/>
      <c r="C95" s="55">
        <v>1200000</v>
      </c>
      <c r="D95" s="55">
        <v>175777.16999999998</v>
      </c>
      <c r="E95" s="55"/>
      <c r="F95" s="56">
        <f t="shared" si="28"/>
        <v>0.14648097499999999</v>
      </c>
      <c r="G95" s="57">
        <f>C95</f>
        <v>1200000</v>
      </c>
      <c r="H95" s="57"/>
      <c r="I95" s="57"/>
      <c r="J95" s="57"/>
    </row>
    <row r="96" spans="1:15" hidden="1" x14ac:dyDescent="0.3">
      <c r="A96" s="53" t="s">
        <v>80</v>
      </c>
      <c r="B96" s="53"/>
      <c r="C96" s="55"/>
      <c r="D96" s="2">
        <v>454000</v>
      </c>
      <c r="F96" s="56"/>
      <c r="G96" s="214"/>
      <c r="H96" s="214"/>
      <c r="I96" s="214"/>
      <c r="J96" s="214"/>
    </row>
    <row r="97" spans="1:16" hidden="1" x14ac:dyDescent="0.3">
      <c r="A97" s="215" t="s">
        <v>15</v>
      </c>
      <c r="B97" s="215"/>
      <c r="C97" s="216">
        <f>SUM(C94:C95)</f>
        <v>1413412</v>
      </c>
      <c r="D97" s="216">
        <f>SUM(D94:D95)</f>
        <v>387189.17</v>
      </c>
      <c r="E97" s="216"/>
      <c r="F97" s="217">
        <f t="shared" si="28"/>
        <v>0.27393935384728585</v>
      </c>
      <c r="G97" s="218"/>
      <c r="H97" s="218"/>
      <c r="I97" s="218"/>
      <c r="J97" s="218"/>
    </row>
    <row r="98" spans="1:16" hidden="1" x14ac:dyDescent="0.3">
      <c r="A98" s="215" t="s">
        <v>81</v>
      </c>
      <c r="B98" s="215"/>
      <c r="C98" s="216">
        <f>C90+C97</f>
        <v>249060083.18000001</v>
      </c>
      <c r="D98" s="216">
        <f>D90+D97</f>
        <v>86488465.270999998</v>
      </c>
      <c r="E98" s="216"/>
      <c r="F98" s="219">
        <f t="shared" si="28"/>
        <v>0.34725944104215728</v>
      </c>
      <c r="G98" s="214"/>
      <c r="H98" s="214"/>
      <c r="I98" s="214"/>
      <c r="J98" s="214"/>
    </row>
    <row r="99" spans="1:16" hidden="1" x14ac:dyDescent="0.3"/>
    <row r="100" spans="1:16" s="2" customFormat="1" hidden="1" x14ac:dyDescent="0.3">
      <c r="A100" s="210"/>
      <c r="B100" s="210" t="s">
        <v>82</v>
      </c>
      <c r="C100" s="2">
        <v>50267695.689999998</v>
      </c>
      <c r="F100" s="3"/>
      <c r="G100" s="4"/>
      <c r="H100" s="4"/>
      <c r="I100" s="4"/>
      <c r="J100" s="4"/>
      <c r="K100" s="5"/>
      <c r="L100" s="5"/>
      <c r="M100" s="6"/>
      <c r="N100" s="6"/>
      <c r="O100" s="6"/>
      <c r="P100"/>
    </row>
    <row r="101" spans="1:16" s="2" customFormat="1" hidden="1" x14ac:dyDescent="0.3">
      <c r="A101" s="210"/>
      <c r="B101" s="210" t="s">
        <v>83</v>
      </c>
      <c r="C101" s="2">
        <v>168082533.84999999</v>
      </c>
      <c r="F101" s="3"/>
      <c r="G101" s="4"/>
      <c r="H101" s="4"/>
      <c r="I101" s="4"/>
      <c r="J101" s="4"/>
      <c r="K101" s="5"/>
      <c r="L101" s="5"/>
      <c r="M101" s="6"/>
      <c r="N101" s="6"/>
      <c r="O101" s="6"/>
      <c r="P101"/>
    </row>
    <row r="102" spans="1:16" s="2" customFormat="1" hidden="1" x14ac:dyDescent="0.3">
      <c r="A102" s="210"/>
      <c r="B102" s="210"/>
      <c r="C102" s="2">
        <f>C101-C100</f>
        <v>117814838.16</v>
      </c>
      <c r="F102" s="3"/>
      <c r="G102" s="4"/>
      <c r="H102" s="4"/>
      <c r="I102" s="4"/>
      <c r="J102" s="4"/>
      <c r="K102" s="5"/>
      <c r="L102" s="5"/>
      <c r="M102" s="6"/>
      <c r="N102" s="6"/>
      <c r="O102" s="6"/>
      <c r="P102"/>
    </row>
    <row r="103" spans="1:16" s="2" customFormat="1" hidden="1" x14ac:dyDescent="0.3">
      <c r="A103" s="210"/>
      <c r="B103" s="210" t="s">
        <v>84</v>
      </c>
      <c r="C103" s="2">
        <v>142101000</v>
      </c>
      <c r="F103" s="3"/>
      <c r="G103" s="4"/>
      <c r="H103" s="4"/>
      <c r="I103" s="4"/>
      <c r="J103" s="4"/>
      <c r="K103" s="5"/>
      <c r="L103" s="5"/>
      <c r="M103" s="6"/>
      <c r="N103" s="6"/>
      <c r="O103" s="6"/>
      <c r="P103"/>
    </row>
    <row r="104" spans="1:16" hidden="1" x14ac:dyDescent="0.3"/>
    <row r="105" spans="1:16" hidden="1" x14ac:dyDescent="0.3"/>
  </sheetData>
  <mergeCells count="2">
    <mergeCell ref="J4:J10"/>
    <mergeCell ref="J15:J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C6CA6-F5D3-4F51-B407-6C4056FEDE55}">
  <sheetPr>
    <tabColor theme="8"/>
  </sheetPr>
  <dimension ref="A2:E79"/>
  <sheetViews>
    <sheetView topLeftCell="A45" workbookViewId="0">
      <selection activeCell="A40" sqref="A40:C41"/>
    </sheetView>
  </sheetViews>
  <sheetFormatPr defaultRowHeight="14.4" x14ac:dyDescent="0.3"/>
  <cols>
    <col min="1" max="1" width="27.88671875" style="210" customWidth="1"/>
    <col min="2" max="2" width="21.5546875" style="210" customWidth="1"/>
    <col min="3" max="3" width="27.109375" style="2" customWidth="1"/>
    <col min="4" max="4" width="20.21875" style="6" customWidth="1"/>
    <col min="5" max="5" width="20.77734375" customWidth="1"/>
    <col min="6" max="6" width="19.44140625" customWidth="1"/>
  </cols>
  <sheetData>
    <row r="2" spans="1:4" x14ac:dyDescent="0.3">
      <c r="A2" s="1" t="s">
        <v>0</v>
      </c>
      <c r="B2" s="1"/>
    </row>
    <row r="3" spans="1:4" s="14" customFormat="1" ht="15" hidden="1" thickBot="1" x14ac:dyDescent="0.35">
      <c r="A3" s="7" t="s">
        <v>1</v>
      </c>
      <c r="B3" s="7"/>
      <c r="C3" s="8" t="s">
        <v>2</v>
      </c>
      <c r="D3" s="13"/>
    </row>
    <row r="4" spans="1:4" s="23" customFormat="1" ht="31.5" hidden="1" customHeight="1" x14ac:dyDescent="0.3">
      <c r="A4" s="15" t="s">
        <v>8</v>
      </c>
      <c r="B4" s="16"/>
      <c r="C4" s="15">
        <v>20353750</v>
      </c>
      <c r="D4" s="22"/>
    </row>
    <row r="5" spans="1:4" ht="31.05" hidden="1" customHeight="1" x14ac:dyDescent="0.3">
      <c r="A5" s="24" t="s">
        <v>10</v>
      </c>
      <c r="B5" s="24"/>
      <c r="C5" s="25">
        <v>10000000</v>
      </c>
      <c r="D5" s="22"/>
    </row>
    <row r="6" spans="1:4" ht="34.5" hidden="1" customHeight="1" x14ac:dyDescent="0.3">
      <c r="A6" s="29" t="str">
        <f>'[1]Budget Schedule'!E1075</f>
        <v xml:space="preserve">Highmast installation in Various villages </v>
      </c>
      <c r="B6" s="29"/>
      <c r="C6" s="25">
        <f>'[1]Budget Schedule'!AA1075</f>
        <v>17550000</v>
      </c>
      <c r="D6" s="22"/>
    </row>
    <row r="7" spans="1:4" ht="34.5" hidden="1" customHeight="1" x14ac:dyDescent="0.3">
      <c r="A7" s="31" t="s">
        <v>11</v>
      </c>
      <c r="B7" s="31"/>
      <c r="C7" s="32"/>
      <c r="D7" s="37"/>
    </row>
    <row r="8" spans="1:4" ht="25.95" hidden="1" customHeight="1" x14ac:dyDescent="0.3">
      <c r="A8" s="31" t="s">
        <v>12</v>
      </c>
      <c r="B8" s="31"/>
      <c r="C8" s="32"/>
      <c r="D8" s="37"/>
    </row>
    <row r="9" spans="1:4" s="23" customFormat="1" ht="25.95" hidden="1" customHeight="1" x14ac:dyDescent="0.3">
      <c r="A9" s="38" t="s">
        <v>13</v>
      </c>
      <c r="B9" s="38"/>
      <c r="C9" s="39"/>
      <c r="D9" s="37"/>
    </row>
    <row r="10" spans="1:4" s="23" customFormat="1" ht="25.95" hidden="1" customHeight="1" x14ac:dyDescent="0.3">
      <c r="A10" s="38" t="s">
        <v>14</v>
      </c>
      <c r="B10" s="38"/>
      <c r="C10" s="39"/>
      <c r="D10" s="37"/>
    </row>
    <row r="11" spans="1:4" ht="28.5" hidden="1" customHeight="1" x14ac:dyDescent="0.3">
      <c r="A11" s="45" t="s">
        <v>15</v>
      </c>
      <c r="B11" s="45"/>
      <c r="C11" s="46">
        <f>SUM(C4:C6)</f>
        <v>47903750</v>
      </c>
      <c r="D11" s="22"/>
    </row>
    <row r="12" spans="1:4" hidden="1" x14ac:dyDescent="0.3">
      <c r="A12" s="49"/>
      <c r="B12" s="49"/>
      <c r="C12" s="50"/>
    </row>
    <row r="13" spans="1:4" hidden="1" x14ac:dyDescent="0.3">
      <c r="A13" s="1" t="s">
        <v>16</v>
      </c>
      <c r="B13" s="1"/>
    </row>
    <row r="14" spans="1:4" ht="15" hidden="1" thickBot="1" x14ac:dyDescent="0.35">
      <c r="A14" s="51" t="s">
        <v>1</v>
      </c>
      <c r="B14" s="51"/>
      <c r="C14" s="8" t="s">
        <v>2</v>
      </c>
    </row>
    <row r="15" spans="1:4" s="58" customFormat="1" ht="28.05" hidden="1" customHeight="1" x14ac:dyDescent="0.3">
      <c r="A15" s="52" t="s">
        <v>17</v>
      </c>
      <c r="B15" s="53"/>
      <c r="C15" s="54">
        <v>3972752</v>
      </c>
      <c r="D15" s="6"/>
    </row>
    <row r="16" spans="1:4" ht="25.5" hidden="1" customHeight="1" x14ac:dyDescent="0.3">
      <c r="A16" s="53" t="s">
        <v>18</v>
      </c>
      <c r="B16" s="53"/>
      <c r="C16" s="54">
        <f>'[1]Budget Schedule'!AA916</f>
        <v>13987039</v>
      </c>
    </row>
    <row r="17" spans="1:5" ht="24" hidden="1" customHeight="1" x14ac:dyDescent="0.3">
      <c r="A17" s="60" t="s">
        <v>15</v>
      </c>
      <c r="B17" s="60"/>
      <c r="C17" s="61">
        <f>SUM(C15:C16)</f>
        <v>17959791</v>
      </c>
    </row>
    <row r="18" spans="1:5" hidden="1" x14ac:dyDescent="0.3">
      <c r="A18" s="49"/>
      <c r="B18" s="49"/>
      <c r="C18" s="64"/>
    </row>
    <row r="19" spans="1:5" hidden="1" x14ac:dyDescent="0.3">
      <c r="A19" s="49"/>
      <c r="B19" s="49"/>
      <c r="C19" s="64"/>
    </row>
    <row r="20" spans="1:5" s="73" customFormat="1" ht="29.4" hidden="1" thickBot="1" x14ac:dyDescent="0.35">
      <c r="A20" s="67" t="s">
        <v>19</v>
      </c>
      <c r="B20" s="68"/>
      <c r="C20" s="67" t="s">
        <v>2</v>
      </c>
      <c r="D20" s="71"/>
    </row>
    <row r="21" spans="1:5" ht="45" hidden="1" customHeight="1" x14ac:dyDescent="0.3">
      <c r="A21" s="74" t="s">
        <v>20</v>
      </c>
      <c r="B21" s="74" t="s">
        <v>21</v>
      </c>
      <c r="C21" s="75">
        <f>'[1]Budget Schedule'!AA1077</f>
        <v>24784906</v>
      </c>
      <c r="D21" s="5"/>
    </row>
    <row r="22" spans="1:5" ht="49.95" hidden="1" customHeight="1" x14ac:dyDescent="0.3">
      <c r="A22" s="80" t="s">
        <v>22</v>
      </c>
      <c r="B22" s="80" t="s">
        <v>23</v>
      </c>
      <c r="C22" s="75">
        <f>'[1]Budget Schedule'!AA1066</f>
        <v>32199563</v>
      </c>
      <c r="D22" s="5"/>
    </row>
    <row r="23" spans="1:5" ht="43.05" hidden="1" customHeight="1" x14ac:dyDescent="0.3">
      <c r="A23" s="80" t="s">
        <v>24</v>
      </c>
      <c r="B23" s="74" t="s">
        <v>25</v>
      </c>
      <c r="C23" s="75">
        <f>'[1]Budget Schedule'!AA1194</f>
        <v>20660283</v>
      </c>
      <c r="D23" s="5"/>
    </row>
    <row r="24" spans="1:5" s="5" customFormat="1" ht="42.45" hidden="1" customHeight="1" x14ac:dyDescent="0.3">
      <c r="A24" s="82" t="s">
        <v>26</v>
      </c>
      <c r="B24" s="82"/>
      <c r="C24" s="83">
        <v>23588505</v>
      </c>
      <c r="D24" s="86"/>
      <c r="E24" s="87" t="e">
        <f>D24-#REF!</f>
        <v>#REF!</v>
      </c>
    </row>
    <row r="25" spans="1:5" ht="51.45" hidden="1" customHeight="1" x14ac:dyDescent="0.3">
      <c r="A25" s="80" t="s">
        <v>28</v>
      </c>
      <c r="B25" s="80" t="s">
        <v>29</v>
      </c>
      <c r="C25" s="75">
        <v>15960560</v>
      </c>
      <c r="D25" s="87"/>
    </row>
    <row r="26" spans="1:5" s="94" customFormat="1" ht="43.95" hidden="1" customHeight="1" x14ac:dyDescent="0.3">
      <c r="A26" s="88" t="str">
        <f>'[1]Budget Schedule'!E1238</f>
        <v>Replavement of Asbestos cement pipe (ac)  to HDPE/uPVC water pipes in Marapong (Zone 1) 2</v>
      </c>
      <c r="B26" s="88"/>
      <c r="C26" s="89">
        <f>'[1]Budget Schedule'!AA1238</f>
        <v>6947392</v>
      </c>
    </row>
    <row r="27" spans="1:5" ht="21.45" hidden="1" customHeight="1" x14ac:dyDescent="0.3">
      <c r="A27" s="52" t="s">
        <v>30</v>
      </c>
      <c r="B27" s="52"/>
      <c r="C27" s="96">
        <f>SUM(C21:C26)</f>
        <v>124141209</v>
      </c>
    </row>
    <row r="28" spans="1:5" ht="23.55" hidden="1" customHeight="1" x14ac:dyDescent="0.3">
      <c r="A28" s="98" t="s">
        <v>31</v>
      </c>
      <c r="B28" s="98"/>
      <c r="C28" s="99">
        <f>C27+C17</f>
        <v>142101000</v>
      </c>
    </row>
    <row r="29" spans="1:5" hidden="1" x14ac:dyDescent="0.3">
      <c r="A29" s="49"/>
      <c r="B29" s="49"/>
      <c r="C29" s="101"/>
    </row>
    <row r="30" spans="1:5" hidden="1" x14ac:dyDescent="0.3">
      <c r="A30" s="49"/>
      <c r="B30" s="49"/>
      <c r="C30" s="101"/>
    </row>
    <row r="31" spans="1:5" hidden="1" x14ac:dyDescent="0.3">
      <c r="A31" s="1" t="s">
        <v>33</v>
      </c>
      <c r="B31" s="1"/>
      <c r="C31" s="64"/>
    </row>
    <row r="32" spans="1:5" ht="15" hidden="1" thickBot="1" x14ac:dyDescent="0.35">
      <c r="A32" s="8" t="s">
        <v>1</v>
      </c>
      <c r="B32" s="51"/>
      <c r="C32" s="8" t="s">
        <v>2</v>
      </c>
    </row>
    <row r="33" spans="1:4" hidden="1" x14ac:dyDescent="0.3">
      <c r="A33" s="53" t="str">
        <f>'[1]Budget Schedule'!E1068</f>
        <v>Energy Efficiency 5A</v>
      </c>
      <c r="B33" s="53"/>
      <c r="C33" s="54">
        <f>'[1]Budget Schedule'!AA1068</f>
        <v>4000000</v>
      </c>
    </row>
    <row r="34" spans="1:4" ht="15" hidden="1" thickBot="1" x14ac:dyDescent="0.35">
      <c r="A34" s="105" t="s">
        <v>15</v>
      </c>
      <c r="B34" s="106"/>
      <c r="C34" s="107">
        <f>SUM(C32:C33)</f>
        <v>4000000</v>
      </c>
    </row>
    <row r="35" spans="1:4" x14ac:dyDescent="0.3">
      <c r="A35" s="49"/>
      <c r="B35" s="49"/>
      <c r="C35" s="101"/>
    </row>
    <row r="36" spans="1:4" x14ac:dyDescent="0.3">
      <c r="A36" s="49"/>
      <c r="B36" s="49"/>
      <c r="C36" s="101"/>
    </row>
    <row r="38" spans="1:4" ht="15" thickBot="1" x14ac:dyDescent="0.35">
      <c r="A38" s="1" t="s">
        <v>34</v>
      </c>
      <c r="B38" s="1"/>
    </row>
    <row r="39" spans="1:4" ht="22.5" customHeight="1" thickBot="1" x14ac:dyDescent="0.35">
      <c r="A39" s="110" t="s">
        <v>1</v>
      </c>
      <c r="B39" s="110" t="s">
        <v>119</v>
      </c>
      <c r="C39" s="8" t="s">
        <v>2</v>
      </c>
    </row>
    <row r="40" spans="1:4" s="58" customFormat="1" ht="19.05" customHeight="1" x14ac:dyDescent="0.3">
      <c r="A40" s="113" t="s">
        <v>117</v>
      </c>
      <c r="B40" s="113" t="s">
        <v>116</v>
      </c>
      <c r="C40" s="285">
        <v>50000</v>
      </c>
      <c r="D40" s="6"/>
    </row>
    <row r="41" spans="1:4" s="58" customFormat="1" ht="19.5" customHeight="1" x14ac:dyDescent="0.3">
      <c r="A41" s="114" t="s">
        <v>118</v>
      </c>
      <c r="B41" s="114" t="s">
        <v>116</v>
      </c>
      <c r="C41" s="285">
        <v>50000</v>
      </c>
      <c r="D41" s="6"/>
    </row>
    <row r="42" spans="1:4" s="122" customFormat="1" ht="19.5" customHeight="1" x14ac:dyDescent="0.3">
      <c r="A42" s="119"/>
      <c r="B42" s="119"/>
      <c r="C42" s="120"/>
      <c r="D42" s="6"/>
    </row>
    <row r="43" spans="1:4" ht="18.45" customHeight="1" x14ac:dyDescent="0.3">
      <c r="A43" s="114"/>
      <c r="B43" s="114"/>
      <c r="C43" s="115"/>
    </row>
    <row r="44" spans="1:4" ht="28.8" x14ac:dyDescent="0.3">
      <c r="A44" s="29" t="s">
        <v>134</v>
      </c>
      <c r="B44" s="29" t="s">
        <v>135</v>
      </c>
      <c r="C44" s="115">
        <v>2200000</v>
      </c>
    </row>
    <row r="45" spans="1:4" ht="19.05" customHeight="1" x14ac:dyDescent="0.3">
      <c r="A45" s="114" t="s">
        <v>136</v>
      </c>
      <c r="B45" s="29" t="s">
        <v>135</v>
      </c>
      <c r="C45" s="115">
        <v>12000000</v>
      </c>
    </row>
    <row r="46" spans="1:4" s="58" customFormat="1" x14ac:dyDescent="0.3">
      <c r="A46" s="29"/>
      <c r="B46" s="29"/>
      <c r="C46" s="115"/>
      <c r="D46" s="6"/>
    </row>
    <row r="47" spans="1:4" x14ac:dyDescent="0.3">
      <c r="A47" s="123"/>
      <c r="B47" s="123"/>
      <c r="C47" s="115"/>
    </row>
    <row r="48" spans="1:4" s="58" customFormat="1" x14ac:dyDescent="0.3">
      <c r="A48" s="123"/>
      <c r="B48" s="123"/>
      <c r="C48" s="115"/>
      <c r="D48" s="6"/>
    </row>
    <row r="49" spans="1:4" s="58" customFormat="1" x14ac:dyDescent="0.3">
      <c r="A49" s="123"/>
      <c r="B49" s="123"/>
      <c r="C49" s="115"/>
      <c r="D49" s="6"/>
    </row>
    <row r="50" spans="1:4" s="58" customFormat="1" x14ac:dyDescent="0.3">
      <c r="A50" s="123"/>
      <c r="B50" s="123"/>
      <c r="C50" s="115"/>
      <c r="D50" s="6"/>
    </row>
    <row r="51" spans="1:4" s="58" customFormat="1" x14ac:dyDescent="0.3">
      <c r="A51" s="123"/>
      <c r="B51" s="123"/>
      <c r="C51" s="115"/>
      <c r="D51" s="6"/>
    </row>
    <row r="52" spans="1:4" s="58" customFormat="1" ht="28.5" customHeight="1" x14ac:dyDescent="0.3">
      <c r="A52" s="125"/>
      <c r="B52" s="123"/>
      <c r="C52" s="115"/>
      <c r="D52" s="6"/>
    </row>
    <row r="53" spans="1:4" s="58" customFormat="1" x14ac:dyDescent="0.3">
      <c r="A53" s="123"/>
      <c r="B53" s="123"/>
      <c r="C53" s="115"/>
      <c r="D53" s="6"/>
    </row>
    <row r="54" spans="1:4" s="58" customFormat="1" ht="24.45" customHeight="1" x14ac:dyDescent="0.3">
      <c r="A54" s="123"/>
      <c r="B54" s="123"/>
      <c r="C54" s="115"/>
      <c r="D54" s="6"/>
    </row>
    <row r="55" spans="1:4" ht="19.5" customHeight="1" x14ac:dyDescent="0.3">
      <c r="A55" s="123"/>
      <c r="B55" s="123"/>
      <c r="C55" s="115"/>
    </row>
    <row r="56" spans="1:4" s="58" customFormat="1" x14ac:dyDescent="0.3">
      <c r="A56" s="123"/>
      <c r="B56" s="123"/>
      <c r="C56" s="115"/>
      <c r="D56" s="6"/>
    </row>
    <row r="57" spans="1:4" s="58" customFormat="1" x14ac:dyDescent="0.3">
      <c r="A57" s="123"/>
      <c r="B57" s="123"/>
      <c r="C57" s="115"/>
      <c r="D57" s="6"/>
    </row>
    <row r="58" spans="1:4" s="58" customFormat="1" x14ac:dyDescent="0.3">
      <c r="A58" s="123"/>
      <c r="B58" s="123"/>
      <c r="C58" s="115"/>
      <c r="D58" s="6"/>
    </row>
    <row r="59" spans="1:4" s="58" customFormat="1" x14ac:dyDescent="0.3">
      <c r="A59" s="123"/>
      <c r="B59" s="123"/>
      <c r="C59" s="115"/>
      <c r="D59" s="6"/>
    </row>
    <row r="60" spans="1:4" s="58" customFormat="1" x14ac:dyDescent="0.3">
      <c r="A60" s="123"/>
      <c r="B60" s="123"/>
      <c r="C60" s="115"/>
      <c r="D60" s="6"/>
    </row>
    <row r="61" spans="1:4" s="58" customFormat="1" x14ac:dyDescent="0.3">
      <c r="A61" s="123"/>
      <c r="B61" s="123"/>
      <c r="C61" s="115"/>
      <c r="D61" s="6"/>
    </row>
    <row r="62" spans="1:4" s="58" customFormat="1" x14ac:dyDescent="0.3">
      <c r="A62" s="123"/>
      <c r="B62" s="123"/>
      <c r="C62" s="115"/>
      <c r="D62" s="6"/>
    </row>
    <row r="63" spans="1:4" s="58" customFormat="1" x14ac:dyDescent="0.3">
      <c r="A63" s="123"/>
      <c r="B63" s="123"/>
      <c r="C63" s="115"/>
      <c r="D63" s="6"/>
    </row>
    <row r="64" spans="1:4" ht="19.05" customHeight="1" x14ac:dyDescent="0.3">
      <c r="A64" s="114"/>
      <c r="B64" s="114"/>
      <c r="C64" s="120"/>
    </row>
    <row r="65" spans="1:5" ht="19.5" customHeight="1" thickBot="1" x14ac:dyDescent="0.35">
      <c r="A65" s="126" t="s">
        <v>15</v>
      </c>
      <c r="B65" s="126"/>
      <c r="C65" s="127">
        <f>SUM(C40:C64)</f>
        <v>14300000</v>
      </c>
    </row>
    <row r="67" spans="1:5" hidden="1" x14ac:dyDescent="0.3">
      <c r="A67" s="49" t="s">
        <v>77</v>
      </c>
      <c r="B67" s="49"/>
    </row>
    <row r="68" spans="1:5" hidden="1" x14ac:dyDescent="0.3">
      <c r="A68" s="53" t="s">
        <v>78</v>
      </c>
      <c r="B68" s="53"/>
      <c r="C68" s="55">
        <v>213412</v>
      </c>
    </row>
    <row r="69" spans="1:5" hidden="1" x14ac:dyDescent="0.3">
      <c r="A69" s="53" t="s">
        <v>79</v>
      </c>
      <c r="B69" s="53"/>
      <c r="C69" s="55">
        <v>1200000</v>
      </c>
    </row>
    <row r="70" spans="1:5" hidden="1" x14ac:dyDescent="0.3">
      <c r="A70" s="53" t="s">
        <v>80</v>
      </c>
      <c r="B70" s="53"/>
      <c r="C70" s="55"/>
    </row>
    <row r="71" spans="1:5" hidden="1" x14ac:dyDescent="0.3">
      <c r="A71" s="215" t="s">
        <v>15</v>
      </c>
      <c r="B71" s="215"/>
      <c r="C71" s="216">
        <f>SUM(C68:C69)</f>
        <v>1413412</v>
      </c>
    </row>
    <row r="72" spans="1:5" hidden="1" x14ac:dyDescent="0.3">
      <c r="A72" s="215" t="s">
        <v>81</v>
      </c>
      <c r="B72" s="215"/>
      <c r="C72" s="216" t="e">
        <f>#REF!+C71</f>
        <v>#REF!</v>
      </c>
    </row>
    <row r="73" spans="1:5" hidden="1" x14ac:dyDescent="0.3"/>
    <row r="74" spans="1:5" s="2" customFormat="1" hidden="1" x14ac:dyDescent="0.3">
      <c r="A74" s="210"/>
      <c r="B74" s="210" t="s">
        <v>82</v>
      </c>
      <c r="C74" s="2">
        <v>50267695.689999998</v>
      </c>
      <c r="D74" s="6"/>
      <c r="E74"/>
    </row>
    <row r="75" spans="1:5" s="2" customFormat="1" hidden="1" x14ac:dyDescent="0.3">
      <c r="A75" s="210"/>
      <c r="B75" s="210" t="s">
        <v>83</v>
      </c>
      <c r="C75" s="2">
        <v>168082533.84999999</v>
      </c>
      <c r="D75" s="6"/>
      <c r="E75"/>
    </row>
    <row r="76" spans="1:5" s="2" customFormat="1" hidden="1" x14ac:dyDescent="0.3">
      <c r="A76" s="210"/>
      <c r="B76" s="210"/>
      <c r="C76" s="2">
        <f>C75-C74</f>
        <v>117814838.16</v>
      </c>
      <c r="D76" s="6"/>
      <c r="E76"/>
    </row>
    <row r="77" spans="1:5" s="2" customFormat="1" hidden="1" x14ac:dyDescent="0.3">
      <c r="A77" s="210"/>
      <c r="B77" s="210" t="s">
        <v>84</v>
      </c>
      <c r="C77" s="2">
        <v>142101000</v>
      </c>
      <c r="D77" s="6"/>
      <c r="E77"/>
    </row>
    <row r="78" spans="1:5" hidden="1" x14ac:dyDescent="0.3"/>
    <row r="79" spans="1:5" hidden="1" x14ac:dyDescent="0.3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94A62-538B-48AE-824C-21FC89EF28D6}">
  <sheetPr>
    <tabColor theme="8"/>
  </sheetPr>
  <dimension ref="A3:I87"/>
  <sheetViews>
    <sheetView topLeftCell="A62" workbookViewId="0">
      <selection activeCell="D68" sqref="D68"/>
    </sheetView>
  </sheetViews>
  <sheetFormatPr defaultRowHeight="14.4" x14ac:dyDescent="0.3"/>
  <cols>
    <col min="1" max="1" width="54.33203125" style="210" customWidth="1"/>
    <col min="2" max="2" width="16.77734375" style="210" customWidth="1"/>
    <col min="3" max="3" width="13.109375" style="210" customWidth="1"/>
    <col min="4" max="4" width="14.77734375" style="290" bestFit="1" customWidth="1"/>
    <col min="5" max="5" width="14.77734375" style="210" bestFit="1" customWidth="1"/>
    <col min="6" max="6" width="16.21875" style="210" customWidth="1"/>
    <col min="7" max="7" width="14.77734375" style="5" bestFit="1" customWidth="1"/>
    <col min="8" max="8" width="15.44140625" style="5" bestFit="1" customWidth="1"/>
    <col min="9" max="9" width="8.77734375" style="5"/>
  </cols>
  <sheetData>
    <row r="3" spans="1:7" ht="15" thickBot="1" x14ac:dyDescent="0.35">
      <c r="A3" s="1" t="s">
        <v>186</v>
      </c>
    </row>
    <row r="4" spans="1:7" ht="22.5" customHeight="1" thickBot="1" x14ac:dyDescent="0.35">
      <c r="A4" s="110" t="s">
        <v>119</v>
      </c>
      <c r="B4" s="110" t="s">
        <v>185</v>
      </c>
      <c r="C4" s="110" t="s">
        <v>1</v>
      </c>
      <c r="D4" s="110" t="s">
        <v>154</v>
      </c>
      <c r="E4" s="110" t="s">
        <v>155</v>
      </c>
      <c r="F4" s="110" t="s">
        <v>156</v>
      </c>
    </row>
    <row r="5" spans="1:7" ht="27" customHeight="1" x14ac:dyDescent="0.3">
      <c r="A5" s="52" t="s">
        <v>183</v>
      </c>
      <c r="B5" s="53" t="s">
        <v>63</v>
      </c>
      <c r="C5" s="303" t="s">
        <v>174</v>
      </c>
      <c r="D5" s="289">
        <f>15000000-3000000</f>
        <v>12000000</v>
      </c>
      <c r="E5" s="289">
        <f>10000000+3000000</f>
        <v>13000000</v>
      </c>
      <c r="F5" s="53"/>
    </row>
    <row r="6" spans="1:7" x14ac:dyDescent="0.3">
      <c r="A6" s="53" t="s">
        <v>177</v>
      </c>
      <c r="B6" s="53" t="s">
        <v>63</v>
      </c>
      <c r="C6" s="303" t="s">
        <v>174</v>
      </c>
      <c r="D6" s="289">
        <f>8000000</f>
        <v>8000000</v>
      </c>
      <c r="E6" s="289">
        <v>15000000</v>
      </c>
      <c r="F6" s="53"/>
    </row>
    <row r="7" spans="1:7" x14ac:dyDescent="0.3">
      <c r="A7" s="53" t="s">
        <v>178</v>
      </c>
      <c r="B7" s="53" t="s">
        <v>63</v>
      </c>
      <c r="C7" s="303" t="s">
        <v>174</v>
      </c>
      <c r="D7" s="289">
        <f>(18000000-8000000-539050-15000)-135000</f>
        <v>9310950</v>
      </c>
      <c r="E7" s="289">
        <v>15000000</v>
      </c>
      <c r="F7" s="53"/>
    </row>
    <row r="8" spans="1:7" x14ac:dyDescent="0.3">
      <c r="A8" s="303" t="s">
        <v>162</v>
      </c>
      <c r="B8" s="305" t="s">
        <v>63</v>
      </c>
      <c r="C8" s="303" t="s">
        <v>174</v>
      </c>
      <c r="D8" s="304">
        <f>16700000-7000000-350000</f>
        <v>9350000</v>
      </c>
      <c r="E8" s="305">
        <f>10000000+1361850</f>
        <v>11361850</v>
      </c>
      <c r="F8" s="305"/>
    </row>
    <row r="9" spans="1:7" ht="15" thickBot="1" x14ac:dyDescent="0.35">
      <c r="A9" s="123" t="s">
        <v>133</v>
      </c>
      <c r="B9" s="286" t="s">
        <v>63</v>
      </c>
      <c r="C9" s="123" t="s">
        <v>135</v>
      </c>
      <c r="D9" s="291">
        <f>19500000-8000000</f>
        <v>11500000</v>
      </c>
      <c r="E9" s="286"/>
      <c r="F9" s="286"/>
      <c r="G9" s="354"/>
    </row>
    <row r="10" spans="1:7" ht="22.5" customHeight="1" thickBot="1" x14ac:dyDescent="0.35">
      <c r="A10" s="110"/>
      <c r="B10" s="110"/>
      <c r="C10" s="110"/>
      <c r="D10" s="110">
        <f>SUM(D5:D9)</f>
        <v>50160950</v>
      </c>
      <c r="E10" s="110">
        <f>SUM(E5:E9)</f>
        <v>54361850</v>
      </c>
      <c r="F10" s="110"/>
      <c r="G10" s="367"/>
    </row>
    <row r="11" spans="1:7" ht="15" thickBot="1" x14ac:dyDescent="0.35">
      <c r="A11" s="123"/>
      <c r="B11" s="286"/>
      <c r="C11" s="123"/>
      <c r="D11" s="291"/>
      <c r="E11" s="286"/>
      <c r="F11" s="286"/>
      <c r="G11" s="367"/>
    </row>
    <row r="12" spans="1:7" ht="33.450000000000003" customHeight="1" thickBot="1" x14ac:dyDescent="0.35">
      <c r="A12" s="110" t="s">
        <v>141</v>
      </c>
      <c r="B12" s="110" t="s">
        <v>143</v>
      </c>
      <c r="C12" s="110" t="s">
        <v>135</v>
      </c>
      <c r="D12" s="110">
        <v>12412000</v>
      </c>
      <c r="E12" s="110">
        <v>11212000</v>
      </c>
      <c r="F12" s="110"/>
    </row>
    <row r="13" spans="1:7" ht="15" thickBot="1" x14ac:dyDescent="0.35">
      <c r="A13" s="123"/>
      <c r="B13" s="286"/>
      <c r="C13" s="123"/>
      <c r="D13" s="291"/>
      <c r="E13" s="286"/>
      <c r="F13" s="286"/>
    </row>
    <row r="14" spans="1:7" ht="34.950000000000003" customHeight="1" thickBot="1" x14ac:dyDescent="0.35">
      <c r="A14" s="110" t="s">
        <v>142</v>
      </c>
      <c r="B14" s="110" t="s">
        <v>144</v>
      </c>
      <c r="C14" s="110" t="s">
        <v>135</v>
      </c>
      <c r="D14" s="110">
        <v>4000000</v>
      </c>
      <c r="E14" s="110"/>
      <c r="F14" s="110"/>
    </row>
    <row r="15" spans="1:7" hidden="1" x14ac:dyDescent="0.3">
      <c r="A15" s="49"/>
      <c r="B15" s="49"/>
      <c r="C15" s="49" t="s">
        <v>77</v>
      </c>
      <c r="D15" s="292"/>
      <c r="E15" s="49"/>
      <c r="F15" s="49"/>
    </row>
    <row r="16" spans="1:7" hidden="1" x14ac:dyDescent="0.3">
      <c r="A16" s="53"/>
      <c r="B16" s="53"/>
      <c r="C16" s="53" t="s">
        <v>78</v>
      </c>
      <c r="D16" s="293"/>
      <c r="E16" s="53"/>
      <c r="F16" s="53"/>
    </row>
    <row r="17" spans="1:9" hidden="1" x14ac:dyDescent="0.3">
      <c r="A17" s="53"/>
      <c r="B17" s="53"/>
      <c r="C17" s="53" t="s">
        <v>79</v>
      </c>
      <c r="D17" s="293"/>
      <c r="E17" s="53"/>
      <c r="F17" s="53"/>
    </row>
    <row r="18" spans="1:9" hidden="1" x14ac:dyDescent="0.3">
      <c r="A18" s="53"/>
      <c r="B18" s="53"/>
      <c r="C18" s="53" t="s">
        <v>80</v>
      </c>
      <c r="D18" s="293"/>
      <c r="E18" s="53"/>
      <c r="F18" s="53"/>
    </row>
    <row r="19" spans="1:9" hidden="1" x14ac:dyDescent="0.3">
      <c r="A19" s="215"/>
      <c r="B19" s="215"/>
      <c r="C19" s="215" t="s">
        <v>15</v>
      </c>
      <c r="D19" s="294"/>
      <c r="E19" s="215"/>
      <c r="F19" s="215"/>
    </row>
    <row r="20" spans="1:9" hidden="1" x14ac:dyDescent="0.3">
      <c r="A20" s="215"/>
      <c r="B20" s="215"/>
      <c r="C20" s="215" t="s">
        <v>81</v>
      </c>
      <c r="D20" s="294"/>
      <c r="E20" s="215"/>
      <c r="F20" s="215"/>
    </row>
    <row r="21" spans="1:9" hidden="1" x14ac:dyDescent="0.3"/>
    <row r="22" spans="1:9" s="2" customFormat="1" hidden="1" x14ac:dyDescent="0.3">
      <c r="A22" s="210" t="s">
        <v>82</v>
      </c>
      <c r="B22" s="210"/>
      <c r="C22" s="210"/>
      <c r="D22" s="290"/>
      <c r="E22" s="210"/>
      <c r="F22" s="210"/>
      <c r="G22" s="256"/>
      <c r="H22" s="256"/>
      <c r="I22" s="256"/>
    </row>
    <row r="23" spans="1:9" s="2" customFormat="1" hidden="1" x14ac:dyDescent="0.3">
      <c r="A23" s="210" t="s">
        <v>83</v>
      </c>
      <c r="B23" s="210"/>
      <c r="C23" s="210"/>
      <c r="D23" s="290"/>
      <c r="E23" s="210"/>
      <c r="F23" s="210"/>
      <c r="G23" s="256"/>
      <c r="H23" s="256"/>
      <c r="I23" s="256"/>
    </row>
    <row r="24" spans="1:9" s="2" customFormat="1" hidden="1" x14ac:dyDescent="0.3">
      <c r="A24" s="210"/>
      <c r="B24" s="210"/>
      <c r="C24" s="210"/>
      <c r="D24" s="290"/>
      <c r="E24" s="210"/>
      <c r="F24" s="210"/>
      <c r="G24" s="256"/>
      <c r="H24" s="256"/>
      <c r="I24" s="256"/>
    </row>
    <row r="25" spans="1:9" s="2" customFormat="1" hidden="1" x14ac:dyDescent="0.3">
      <c r="A25" s="210" t="s">
        <v>84</v>
      </c>
      <c r="B25" s="210"/>
      <c r="C25" s="210"/>
      <c r="D25" s="290"/>
      <c r="E25" s="210"/>
      <c r="F25" s="210"/>
      <c r="G25" s="256"/>
      <c r="H25" s="256"/>
      <c r="I25" s="256"/>
    </row>
    <row r="26" spans="1:9" hidden="1" x14ac:dyDescent="0.3"/>
    <row r="27" spans="1:9" hidden="1" x14ac:dyDescent="0.3"/>
    <row r="28" spans="1:9" ht="15" thickBot="1" x14ac:dyDescent="0.35"/>
    <row r="29" spans="1:9" s="193" customFormat="1" ht="30.45" customHeight="1" thickBot="1" x14ac:dyDescent="0.35">
      <c r="A29" s="299" t="s">
        <v>127</v>
      </c>
      <c r="B29" s="299" t="s">
        <v>64</v>
      </c>
      <c r="C29" s="325" t="s">
        <v>175</v>
      </c>
      <c r="D29" s="312">
        <f>46701461.91-15000000</f>
        <v>31701461.909999996</v>
      </c>
      <c r="E29" s="312">
        <v>25000000</v>
      </c>
      <c r="F29" s="299"/>
      <c r="G29" s="95"/>
      <c r="H29" s="94"/>
      <c r="I29" s="94"/>
    </row>
    <row r="30" spans="1:9" s="58" customFormat="1" ht="15" thickBot="1" x14ac:dyDescent="0.35">
      <c r="A30" s="297" t="s">
        <v>129</v>
      </c>
      <c r="B30" s="297" t="s">
        <v>64</v>
      </c>
      <c r="C30" s="298" t="s">
        <v>175</v>
      </c>
      <c r="D30" s="312">
        <f>42533884.09-15000000</f>
        <v>27533884.090000004</v>
      </c>
      <c r="E30" s="312">
        <v>28858981.359999999</v>
      </c>
      <c r="F30" s="297"/>
      <c r="G30" s="95"/>
      <c r="H30" s="6"/>
      <c r="I30" s="6"/>
    </row>
    <row r="31" spans="1:9" s="58" customFormat="1" ht="29.4" thickBot="1" x14ac:dyDescent="0.35">
      <c r="A31" s="297" t="s">
        <v>128</v>
      </c>
      <c r="B31" s="297" t="s">
        <v>64</v>
      </c>
      <c r="C31" s="298" t="s">
        <v>175</v>
      </c>
      <c r="D31" s="312">
        <f>41392865.45-10000000</f>
        <v>31392865.450000003</v>
      </c>
      <c r="E31" s="312">
        <v>19141018.640000001</v>
      </c>
      <c r="F31" s="297"/>
      <c r="G31" s="95"/>
      <c r="H31" s="6"/>
      <c r="I31" s="6"/>
    </row>
    <row r="32" spans="1:9" s="58" customFormat="1" ht="29.4" thickBot="1" x14ac:dyDescent="0.35">
      <c r="A32" s="297" t="s">
        <v>130</v>
      </c>
      <c r="B32" s="297" t="s">
        <v>64</v>
      </c>
      <c r="C32" s="298" t="s">
        <v>175</v>
      </c>
      <c r="D32" s="312">
        <f>32199562.58-15000000</f>
        <v>17199562.579999998</v>
      </c>
      <c r="E32" s="312">
        <v>20000000</v>
      </c>
      <c r="F32" s="297"/>
      <c r="G32" s="95"/>
      <c r="H32" s="6"/>
      <c r="I32" s="6"/>
    </row>
    <row r="33" spans="1:9" s="58" customFormat="1" ht="24" customHeight="1" thickBot="1" x14ac:dyDescent="0.35">
      <c r="A33" s="297" t="s">
        <v>131</v>
      </c>
      <c r="B33" s="297" t="s">
        <v>64</v>
      </c>
      <c r="C33" s="298" t="s">
        <v>175</v>
      </c>
      <c r="D33" s="312">
        <f>39931312-9459086.03</f>
        <v>30472225.969999999</v>
      </c>
      <c r="E33" s="312">
        <v>19459086.030000001</v>
      </c>
      <c r="F33" s="297"/>
      <c r="G33" s="95"/>
      <c r="H33" s="6"/>
      <c r="I33" s="6"/>
    </row>
    <row r="34" spans="1:9" s="58" customFormat="1" ht="46.95" customHeight="1" thickBot="1" x14ac:dyDescent="0.35">
      <c r="A34" s="297" t="s">
        <v>188</v>
      </c>
      <c r="B34" s="297" t="s">
        <v>64</v>
      </c>
      <c r="C34" s="298" t="s">
        <v>189</v>
      </c>
      <c r="D34" s="312">
        <f>49000000-10000000</f>
        <v>39000000</v>
      </c>
      <c r="E34" s="312">
        <f>15000000+5151914</f>
        <v>20151914</v>
      </c>
      <c r="F34" s="297"/>
      <c r="G34" s="95"/>
      <c r="H34" s="6"/>
      <c r="I34" s="6"/>
    </row>
    <row r="35" spans="1:9" s="326" customFormat="1" ht="29.4" thickBot="1" x14ac:dyDescent="0.35">
      <c r="A35" s="299" t="s">
        <v>197</v>
      </c>
      <c r="B35" s="299" t="s">
        <v>64</v>
      </c>
      <c r="C35" s="325" t="s">
        <v>189</v>
      </c>
      <c r="D35" s="312">
        <v>20000000</v>
      </c>
      <c r="E35" s="312">
        <v>0</v>
      </c>
      <c r="F35" s="299"/>
      <c r="G35" s="95"/>
      <c r="H35" s="366"/>
      <c r="I35" s="192"/>
    </row>
    <row r="36" spans="1:9" s="193" customFormat="1" ht="19.5" customHeight="1" thickBot="1" x14ac:dyDescent="0.35">
      <c r="A36" s="362"/>
      <c r="B36" s="296"/>
      <c r="C36" s="362" t="s">
        <v>132</v>
      </c>
      <c r="D36" s="296">
        <f>SUM(D29:D33)</f>
        <v>138300000</v>
      </c>
      <c r="E36" s="296">
        <f>SUM(E29:E35)</f>
        <v>132611000.03</v>
      </c>
      <c r="F36" s="296"/>
      <c r="G36" s="363"/>
      <c r="H36" s="364"/>
      <c r="I36" s="94"/>
    </row>
    <row r="37" spans="1:9" ht="25.5" customHeight="1" thickBot="1" x14ac:dyDescent="0.35">
      <c r="C37" s="360"/>
      <c r="D37" s="361"/>
      <c r="F37" s="360"/>
      <c r="G37" s="87"/>
      <c r="H37" s="87"/>
    </row>
    <row r="38" spans="1:9" s="349" customFormat="1" ht="25.05" customHeight="1" thickBot="1" x14ac:dyDescent="0.35">
      <c r="A38" s="347" t="s">
        <v>187</v>
      </c>
      <c r="B38" s="347" t="s">
        <v>139</v>
      </c>
      <c r="C38" s="348" t="s">
        <v>189</v>
      </c>
      <c r="D38" s="347">
        <v>1500000</v>
      </c>
      <c r="E38" s="347"/>
      <c r="F38" s="347"/>
      <c r="G38" s="365"/>
      <c r="H38" s="192"/>
      <c r="I38" s="192"/>
    </row>
    <row r="39" spans="1:9" s="349" customFormat="1" ht="45" customHeight="1" thickBot="1" x14ac:dyDescent="0.35">
      <c r="A39" s="347" t="s">
        <v>195</v>
      </c>
      <c r="B39" s="347" t="s">
        <v>139</v>
      </c>
      <c r="C39" s="348" t="s">
        <v>193</v>
      </c>
      <c r="D39" s="347">
        <v>1500000</v>
      </c>
      <c r="E39" s="347"/>
      <c r="F39" s="347"/>
      <c r="G39" s="366"/>
      <c r="H39" s="192"/>
      <c r="I39" s="192"/>
    </row>
    <row r="40" spans="1:9" s="326" customFormat="1" ht="15" thickBot="1" x14ac:dyDescent="0.35">
      <c r="A40" s="333" t="s">
        <v>210</v>
      </c>
      <c r="B40" s="334" t="s">
        <v>139</v>
      </c>
      <c r="C40" s="337" t="s">
        <v>194</v>
      </c>
      <c r="D40" s="335">
        <v>106661.99</v>
      </c>
      <c r="E40" s="328"/>
      <c r="F40" s="328"/>
      <c r="G40" s="192"/>
      <c r="H40" s="192"/>
      <c r="I40" s="192"/>
    </row>
    <row r="41" spans="1:9" s="326" customFormat="1" ht="15" thickBot="1" x14ac:dyDescent="0.35">
      <c r="A41" s="333" t="s">
        <v>211</v>
      </c>
      <c r="B41" s="334" t="s">
        <v>139</v>
      </c>
      <c r="C41" s="337" t="s">
        <v>194</v>
      </c>
      <c r="D41" s="335">
        <v>561200</v>
      </c>
      <c r="E41" s="328"/>
      <c r="F41" s="328"/>
      <c r="G41" s="192"/>
      <c r="H41" s="192"/>
      <c r="I41" s="192"/>
    </row>
    <row r="42" spans="1:9" s="326" customFormat="1" ht="15" thickBot="1" x14ac:dyDescent="0.35">
      <c r="A42" s="333" t="s">
        <v>212</v>
      </c>
      <c r="B42" s="334" t="s">
        <v>139</v>
      </c>
      <c r="C42" s="337" t="s">
        <v>194</v>
      </c>
      <c r="D42" s="335">
        <v>165600</v>
      </c>
      <c r="E42" s="328"/>
      <c r="F42" s="328"/>
      <c r="G42" s="192"/>
      <c r="H42" s="192"/>
      <c r="I42" s="192"/>
    </row>
    <row r="43" spans="1:9" s="326" customFormat="1" ht="15" thickBot="1" x14ac:dyDescent="0.35">
      <c r="A43" s="333" t="s">
        <v>213</v>
      </c>
      <c r="B43" s="334" t="s">
        <v>139</v>
      </c>
      <c r="C43" s="337" t="s">
        <v>194</v>
      </c>
      <c r="D43" s="335">
        <v>252885</v>
      </c>
      <c r="E43" s="328"/>
      <c r="F43" s="328"/>
      <c r="G43" s="192"/>
      <c r="H43" s="192"/>
      <c r="I43" s="192"/>
    </row>
    <row r="44" spans="1:9" s="326" customFormat="1" ht="21" customHeight="1" thickBot="1" x14ac:dyDescent="0.35">
      <c r="A44" s="328" t="s">
        <v>200</v>
      </c>
      <c r="B44" s="328" t="s">
        <v>139</v>
      </c>
      <c r="C44" s="338" t="s">
        <v>199</v>
      </c>
      <c r="D44" s="336">
        <v>1500000</v>
      </c>
      <c r="E44" s="328"/>
      <c r="F44" s="328"/>
      <c r="G44" s="192"/>
      <c r="H44" s="192"/>
      <c r="I44" s="192"/>
    </row>
    <row r="45" spans="1:9" ht="22.95" customHeight="1" x14ac:dyDescent="0.3">
      <c r="A45" s="123" t="s">
        <v>191</v>
      </c>
      <c r="B45" s="123" t="s">
        <v>139</v>
      </c>
      <c r="C45" s="113" t="s">
        <v>192</v>
      </c>
      <c r="D45" s="26">
        <v>1200000</v>
      </c>
      <c r="E45" s="123"/>
      <c r="F45" s="123"/>
    </row>
    <row r="46" spans="1:9" x14ac:dyDescent="0.3">
      <c r="A46" s="123" t="s">
        <v>201</v>
      </c>
      <c r="B46" s="123" t="s">
        <v>139</v>
      </c>
      <c r="C46" s="114" t="s">
        <v>192</v>
      </c>
      <c r="D46" s="26">
        <v>800000</v>
      </c>
      <c r="E46" s="123"/>
      <c r="F46" s="123"/>
    </row>
    <row r="47" spans="1:9" s="308" customFormat="1" x14ac:dyDescent="0.3">
      <c r="A47" s="331" t="s">
        <v>218</v>
      </c>
      <c r="B47" s="331" t="s">
        <v>139</v>
      </c>
      <c r="C47" s="237" t="s">
        <v>175</v>
      </c>
      <c r="D47" s="332">
        <v>2500000</v>
      </c>
      <c r="E47" s="331"/>
      <c r="F47" s="331"/>
      <c r="G47" s="310"/>
      <c r="H47" s="310"/>
      <c r="I47" s="310"/>
    </row>
    <row r="48" spans="1:9" s="308" customFormat="1" x14ac:dyDescent="0.3">
      <c r="A48" s="331" t="s">
        <v>219</v>
      </c>
      <c r="B48" s="331" t="s">
        <v>139</v>
      </c>
      <c r="C48" s="237" t="s">
        <v>175</v>
      </c>
      <c r="D48" s="332">
        <v>1000000</v>
      </c>
      <c r="E48" s="331"/>
      <c r="F48" s="331"/>
      <c r="G48" s="310"/>
      <c r="H48" s="310"/>
      <c r="I48" s="310"/>
    </row>
    <row r="49" spans="1:9" s="308" customFormat="1" x14ac:dyDescent="0.3">
      <c r="A49" s="331" t="s">
        <v>220</v>
      </c>
      <c r="B49" s="331" t="s">
        <v>139</v>
      </c>
      <c r="C49" s="237" t="s">
        <v>175</v>
      </c>
      <c r="D49" s="332">
        <v>500000</v>
      </c>
      <c r="E49" s="331"/>
      <c r="F49" s="331"/>
      <c r="G49" s="310"/>
      <c r="H49" s="310"/>
      <c r="I49" s="310"/>
    </row>
    <row r="50" spans="1:9" x14ac:dyDescent="0.3">
      <c r="A50" s="329" t="s">
        <v>179</v>
      </c>
      <c r="B50" s="123" t="s">
        <v>139</v>
      </c>
      <c r="C50" s="114" t="s">
        <v>180</v>
      </c>
      <c r="D50" s="291">
        <v>5000000</v>
      </c>
      <c r="E50" s="286">
        <v>5000000</v>
      </c>
      <c r="F50" s="123"/>
    </row>
    <row r="51" spans="1:9" ht="28.05" customHeight="1" x14ac:dyDescent="0.3">
      <c r="A51" s="123" t="s">
        <v>161</v>
      </c>
      <c r="B51" s="123" t="s">
        <v>139</v>
      </c>
      <c r="C51" s="114" t="s">
        <v>135</v>
      </c>
      <c r="D51" s="291">
        <v>500000</v>
      </c>
      <c r="E51" s="123"/>
      <c r="F51" s="123"/>
    </row>
    <row r="52" spans="1:9" ht="21" customHeight="1" x14ac:dyDescent="0.3">
      <c r="A52" s="123" t="s">
        <v>138</v>
      </c>
      <c r="B52" s="286" t="s">
        <v>139</v>
      </c>
      <c r="C52" s="123" t="s">
        <v>135</v>
      </c>
      <c r="E52" s="291">
        <v>1800000</v>
      </c>
      <c r="F52" s="286"/>
    </row>
    <row r="53" spans="1:9" x14ac:dyDescent="0.3">
      <c r="A53" s="123" t="s">
        <v>217</v>
      </c>
      <c r="B53" s="286" t="s">
        <v>139</v>
      </c>
      <c r="C53" s="123" t="s">
        <v>135</v>
      </c>
      <c r="D53" s="291">
        <v>1000000</v>
      </c>
      <c r="E53" s="286"/>
      <c r="F53" s="286"/>
    </row>
    <row r="54" spans="1:9" ht="19.05" customHeight="1" x14ac:dyDescent="0.3">
      <c r="A54" s="123" t="s">
        <v>137</v>
      </c>
      <c r="B54" s="286" t="s">
        <v>140</v>
      </c>
      <c r="C54" s="123" t="s">
        <v>135</v>
      </c>
      <c r="D54" s="291">
        <v>1200000</v>
      </c>
      <c r="E54" s="286"/>
      <c r="F54" s="286"/>
    </row>
    <row r="55" spans="1:9" ht="18.45" customHeight="1" x14ac:dyDescent="0.3">
      <c r="A55" s="123" t="s">
        <v>123</v>
      </c>
      <c r="B55" s="286" t="s">
        <v>140</v>
      </c>
      <c r="C55" s="123" t="s">
        <v>184</v>
      </c>
      <c r="D55" s="291">
        <v>100000</v>
      </c>
      <c r="E55" s="286"/>
      <c r="F55" s="286"/>
    </row>
    <row r="56" spans="1:9" ht="21.45" customHeight="1" x14ac:dyDescent="0.3">
      <c r="A56" s="123" t="s">
        <v>124</v>
      </c>
      <c r="B56" s="286" t="s">
        <v>140</v>
      </c>
      <c r="C56" s="123" t="s">
        <v>184</v>
      </c>
      <c r="D56" s="291">
        <v>200000</v>
      </c>
      <c r="E56" s="286"/>
      <c r="F56" s="286"/>
    </row>
    <row r="57" spans="1:9" x14ac:dyDescent="0.3">
      <c r="A57" s="123" t="s">
        <v>125</v>
      </c>
      <c r="B57" s="286" t="s">
        <v>140</v>
      </c>
      <c r="C57" s="123" t="s">
        <v>184</v>
      </c>
      <c r="D57" s="291">
        <v>1500000</v>
      </c>
      <c r="E57" s="286"/>
      <c r="F57" s="286"/>
    </row>
    <row r="58" spans="1:9" ht="27.45" customHeight="1" x14ac:dyDescent="0.3">
      <c r="A58" s="123" t="s">
        <v>126</v>
      </c>
      <c r="B58" s="286" t="s">
        <v>140</v>
      </c>
      <c r="C58" s="123" t="s">
        <v>184</v>
      </c>
      <c r="D58" s="291">
        <v>500000</v>
      </c>
      <c r="E58" s="286"/>
      <c r="F58" s="286"/>
    </row>
    <row r="59" spans="1:9" x14ac:dyDescent="0.3">
      <c r="A59" s="123" t="s">
        <v>150</v>
      </c>
      <c r="B59" s="286" t="s">
        <v>140</v>
      </c>
      <c r="C59" s="123" t="s">
        <v>153</v>
      </c>
      <c r="D59" s="291">
        <v>1500000</v>
      </c>
      <c r="E59" s="286"/>
      <c r="F59" s="286"/>
    </row>
    <row r="60" spans="1:9" ht="25.05" customHeight="1" x14ac:dyDescent="0.3">
      <c r="A60" s="123" t="s">
        <v>151</v>
      </c>
      <c r="B60" s="286" t="s">
        <v>140</v>
      </c>
      <c r="C60" s="123" t="s">
        <v>153</v>
      </c>
      <c r="D60" s="291">
        <v>110000</v>
      </c>
      <c r="E60" s="286"/>
      <c r="F60" s="286"/>
    </row>
    <row r="61" spans="1:9" ht="19.95" customHeight="1" x14ac:dyDescent="0.3">
      <c r="A61" s="123" t="s">
        <v>152</v>
      </c>
      <c r="B61" s="286" t="s">
        <v>140</v>
      </c>
      <c r="C61" s="123" t="s">
        <v>153</v>
      </c>
      <c r="D61" s="291">
        <v>220000</v>
      </c>
      <c r="E61" s="286"/>
      <c r="F61" s="286"/>
    </row>
    <row r="62" spans="1:9" x14ac:dyDescent="0.3">
      <c r="A62" s="123" t="s">
        <v>146</v>
      </c>
      <c r="B62" s="286" t="s">
        <v>140</v>
      </c>
      <c r="C62" s="123" t="s">
        <v>148</v>
      </c>
      <c r="D62" s="291">
        <v>3500000</v>
      </c>
      <c r="E62" s="286">
        <v>3500000</v>
      </c>
      <c r="F62" s="286"/>
    </row>
    <row r="63" spans="1:9" x14ac:dyDescent="0.3">
      <c r="A63" s="123" t="s">
        <v>149</v>
      </c>
      <c r="B63" s="286" t="s">
        <v>140</v>
      </c>
      <c r="C63" s="123" t="s">
        <v>148</v>
      </c>
      <c r="D63" s="291">
        <v>500000</v>
      </c>
      <c r="E63" s="286">
        <v>500000</v>
      </c>
      <c r="F63" s="286"/>
    </row>
    <row r="64" spans="1:9" x14ac:dyDescent="0.3">
      <c r="A64" s="123" t="s">
        <v>147</v>
      </c>
      <c r="B64" s="286" t="s">
        <v>140</v>
      </c>
      <c r="C64" s="123" t="s">
        <v>148</v>
      </c>
      <c r="D64" s="291">
        <v>300000</v>
      </c>
      <c r="E64" s="286">
        <v>300000</v>
      </c>
      <c r="F64" s="286"/>
    </row>
    <row r="65" spans="1:6" ht="40.049999999999997" customHeight="1" x14ac:dyDescent="0.3">
      <c r="A65" s="345" t="s">
        <v>157</v>
      </c>
      <c r="B65" s="342" t="s">
        <v>140</v>
      </c>
      <c r="C65" s="346" t="s">
        <v>158</v>
      </c>
      <c r="D65" s="342">
        <v>1000000</v>
      </c>
      <c r="E65" s="340"/>
      <c r="F65" s="340"/>
    </row>
    <row r="66" spans="1:6" ht="27.45" customHeight="1" x14ac:dyDescent="0.3">
      <c r="A66" s="339" t="s">
        <v>159</v>
      </c>
      <c r="B66" s="340" t="s">
        <v>140</v>
      </c>
      <c r="C66" s="341" t="s">
        <v>158</v>
      </c>
      <c r="D66" s="342">
        <v>500000</v>
      </c>
      <c r="E66" s="340"/>
      <c r="F66" s="340"/>
    </row>
    <row r="67" spans="1:6" x14ac:dyDescent="0.3">
      <c r="A67" s="339" t="s">
        <v>202</v>
      </c>
      <c r="B67" s="340" t="s">
        <v>140</v>
      </c>
      <c r="C67" s="341" t="s">
        <v>158</v>
      </c>
      <c r="D67" s="342">
        <v>1000000</v>
      </c>
      <c r="E67" s="340"/>
      <c r="F67" s="340"/>
    </row>
    <row r="68" spans="1:6" ht="25.05" customHeight="1" x14ac:dyDescent="0.3">
      <c r="A68" s="343" t="s">
        <v>160</v>
      </c>
      <c r="B68" s="340" t="s">
        <v>140</v>
      </c>
      <c r="C68" s="341" t="s">
        <v>158</v>
      </c>
      <c r="D68" s="344">
        <v>1000000</v>
      </c>
      <c r="E68" s="350"/>
      <c r="F68" s="350"/>
    </row>
    <row r="69" spans="1:6" ht="19.95" customHeight="1" x14ac:dyDescent="0.3">
      <c r="A69" s="295" t="s">
        <v>117</v>
      </c>
      <c r="B69" s="286" t="s">
        <v>140</v>
      </c>
      <c r="C69" s="123" t="s">
        <v>116</v>
      </c>
      <c r="D69" s="291">
        <v>50000</v>
      </c>
      <c r="E69" s="286"/>
      <c r="F69" s="286"/>
    </row>
    <row r="70" spans="1:6" ht="19.95" customHeight="1" x14ac:dyDescent="0.3">
      <c r="A70" s="295" t="s">
        <v>118</v>
      </c>
      <c r="B70" s="286" t="s">
        <v>140</v>
      </c>
      <c r="C70" s="123" t="s">
        <v>116</v>
      </c>
      <c r="D70" s="291">
        <v>50000</v>
      </c>
      <c r="E70" s="286"/>
      <c r="F70" s="286"/>
    </row>
    <row r="71" spans="1:6" ht="26.55" customHeight="1" x14ac:dyDescent="0.3">
      <c r="A71" s="295" t="s">
        <v>215</v>
      </c>
      <c r="B71" s="286" t="s">
        <v>140</v>
      </c>
      <c r="C71" s="123" t="s">
        <v>216</v>
      </c>
      <c r="D71" s="291">
        <f>140000*4</f>
        <v>560000</v>
      </c>
      <c r="E71" s="286"/>
      <c r="F71" s="286"/>
    </row>
    <row r="72" spans="1:6" ht="19.5" customHeight="1" thickBot="1" x14ac:dyDescent="0.35">
      <c r="A72" s="126"/>
      <c r="B72" s="287"/>
      <c r="C72" s="126"/>
      <c r="D72" s="330">
        <f>SUM(D38:D71)</f>
        <v>31876346.990000002</v>
      </c>
      <c r="E72" s="287"/>
      <c r="F72" s="287"/>
    </row>
    <row r="73" spans="1:6" ht="19.95" customHeight="1" x14ac:dyDescent="0.3">
      <c r="A73" s="300"/>
      <c r="B73" s="302"/>
      <c r="C73" s="300"/>
      <c r="D73" s="301"/>
      <c r="E73" s="302"/>
      <c r="F73" s="302"/>
    </row>
    <row r="74" spans="1:6" ht="19.95" customHeight="1" x14ac:dyDescent="0.3">
      <c r="A74" s="300"/>
      <c r="B74" s="302"/>
      <c r="C74" s="300"/>
      <c r="D74" s="301"/>
      <c r="E74" s="302"/>
      <c r="F74" s="302"/>
    </row>
    <row r="75" spans="1:6" ht="19.95" customHeight="1" x14ac:dyDescent="0.3">
      <c r="A75" s="300"/>
      <c r="B75" s="302"/>
      <c r="C75" s="300"/>
      <c r="D75" s="301"/>
      <c r="E75" s="302"/>
      <c r="F75" s="302"/>
    </row>
    <row r="76" spans="1:6" ht="19.95" customHeight="1" x14ac:dyDescent="0.3">
      <c r="A76" s="300"/>
      <c r="B76" s="302"/>
      <c r="C76" s="300"/>
      <c r="D76" s="301"/>
      <c r="E76" s="302"/>
      <c r="F76" s="302"/>
    </row>
    <row r="77" spans="1:6" x14ac:dyDescent="0.3">
      <c r="A77" s="210" t="s">
        <v>163</v>
      </c>
      <c r="B77" s="210" t="s">
        <v>165</v>
      </c>
      <c r="D77" s="210" t="s">
        <v>164</v>
      </c>
    </row>
    <row r="78" spans="1:6" x14ac:dyDescent="0.3">
      <c r="A78" s="210" t="s">
        <v>166</v>
      </c>
      <c r="B78" s="210" t="s">
        <v>165</v>
      </c>
      <c r="D78" s="210" t="s">
        <v>167</v>
      </c>
    </row>
    <row r="79" spans="1:6" x14ac:dyDescent="0.3">
      <c r="A79" s="210" t="s">
        <v>168</v>
      </c>
      <c r="B79" s="210" t="s">
        <v>165</v>
      </c>
      <c r="D79" s="210" t="s">
        <v>169</v>
      </c>
    </row>
    <row r="80" spans="1:6" x14ac:dyDescent="0.3">
      <c r="A80" s="210" t="s">
        <v>170</v>
      </c>
      <c r="B80" s="210" t="s">
        <v>165</v>
      </c>
      <c r="D80" s="210" t="s">
        <v>169</v>
      </c>
    </row>
    <row r="81" spans="1:4" x14ac:dyDescent="0.3">
      <c r="A81" s="210" t="s">
        <v>171</v>
      </c>
      <c r="B81" s="210" t="s">
        <v>165</v>
      </c>
      <c r="D81" s="210" t="s">
        <v>169</v>
      </c>
    </row>
    <row r="82" spans="1:4" x14ac:dyDescent="0.3">
      <c r="A82" s="210" t="s">
        <v>172</v>
      </c>
      <c r="B82" s="210" t="s">
        <v>165</v>
      </c>
      <c r="D82" s="210" t="s">
        <v>169</v>
      </c>
    </row>
    <row r="83" spans="1:4" x14ac:dyDescent="0.3">
      <c r="A83" s="210" t="s">
        <v>173</v>
      </c>
      <c r="D83" s="210" t="s">
        <v>169</v>
      </c>
    </row>
    <row r="84" spans="1:4" x14ac:dyDescent="0.3">
      <c r="A84" s="210" t="s">
        <v>176</v>
      </c>
      <c r="D84" s="210" t="s">
        <v>169</v>
      </c>
    </row>
    <row r="86" spans="1:4" x14ac:dyDescent="0.3">
      <c r="D86" s="306"/>
    </row>
    <row r="87" spans="1:4" x14ac:dyDescent="0.3">
      <c r="D87" s="28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82CA2-7AD1-4501-B78C-45141D46BFF5}">
  <dimension ref="B2:H8"/>
  <sheetViews>
    <sheetView workbookViewId="0">
      <selection activeCell="H4" sqref="H4:H7"/>
    </sheetView>
  </sheetViews>
  <sheetFormatPr defaultRowHeight="14.4" x14ac:dyDescent="0.3"/>
  <cols>
    <col min="3" max="3" width="17.33203125" customWidth="1"/>
    <col min="7" max="7" width="22.21875" customWidth="1"/>
    <col min="8" max="8" width="26.21875" customWidth="1"/>
  </cols>
  <sheetData>
    <row r="2" spans="2:8" x14ac:dyDescent="0.3">
      <c r="B2" s="210" t="s">
        <v>203</v>
      </c>
      <c r="C2" s="210"/>
      <c r="D2" s="288"/>
      <c r="E2" s="210"/>
      <c r="F2" s="210"/>
    </row>
    <row r="3" spans="2:8" x14ac:dyDescent="0.3">
      <c r="B3" s="210" t="s">
        <v>204</v>
      </c>
      <c r="C3" s="210" t="s">
        <v>205</v>
      </c>
      <c r="D3" s="290" t="s">
        <v>206</v>
      </c>
      <c r="E3" s="210" t="s">
        <v>207</v>
      </c>
      <c r="F3" s="210" t="s">
        <v>208</v>
      </c>
      <c r="G3" t="s">
        <v>15</v>
      </c>
      <c r="H3" t="s">
        <v>209</v>
      </c>
    </row>
    <row r="4" spans="2:8" x14ac:dyDescent="0.3">
      <c r="B4" s="210">
        <v>1</v>
      </c>
      <c r="C4" s="210" t="s">
        <v>210</v>
      </c>
      <c r="D4" s="290">
        <v>6</v>
      </c>
      <c r="E4" s="210">
        <v>15458.26</v>
      </c>
      <c r="F4" s="210">
        <v>2318.739</v>
      </c>
      <c r="G4" s="307">
        <v>17776.999</v>
      </c>
      <c r="H4" s="307">
        <v>106661.99</v>
      </c>
    </row>
    <row r="5" spans="2:8" x14ac:dyDescent="0.3">
      <c r="B5" s="210">
        <v>2</v>
      </c>
      <c r="C5" s="210" t="s">
        <v>211</v>
      </c>
      <c r="D5" s="290">
        <v>1</v>
      </c>
      <c r="E5" s="210">
        <v>488000</v>
      </c>
      <c r="F5" s="210">
        <v>73200</v>
      </c>
      <c r="G5" s="307">
        <v>561200</v>
      </c>
      <c r="H5" s="307">
        <v>561200</v>
      </c>
    </row>
    <row r="6" spans="2:8" x14ac:dyDescent="0.3">
      <c r="B6" s="210">
        <v>3</v>
      </c>
      <c r="C6" s="210" t="s">
        <v>212</v>
      </c>
      <c r="D6" s="290">
        <v>2</v>
      </c>
      <c r="E6" s="210">
        <v>72000</v>
      </c>
      <c r="F6" s="210">
        <v>10800</v>
      </c>
      <c r="G6" s="307">
        <v>82800</v>
      </c>
      <c r="H6" s="307">
        <v>165600</v>
      </c>
    </row>
    <row r="7" spans="2:8" x14ac:dyDescent="0.3">
      <c r="B7" s="210">
        <v>4</v>
      </c>
      <c r="C7" s="210" t="s">
        <v>213</v>
      </c>
      <c r="D7" s="290">
        <v>1</v>
      </c>
      <c r="E7" s="210">
        <v>219900</v>
      </c>
      <c r="F7" s="210">
        <v>32985</v>
      </c>
      <c r="G7" s="307">
        <v>252885</v>
      </c>
      <c r="H7" s="307">
        <v>252885</v>
      </c>
    </row>
    <row r="8" spans="2:8" x14ac:dyDescent="0.3">
      <c r="B8" s="210"/>
      <c r="C8" s="210"/>
      <c r="D8" s="290"/>
      <c r="E8" s="210"/>
      <c r="F8" s="210"/>
      <c r="G8" t="s">
        <v>214</v>
      </c>
      <c r="H8" s="307">
        <v>1086347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A9AB-C310-40F2-8FCD-22CC79D7785E}">
  <dimension ref="A3:F18"/>
  <sheetViews>
    <sheetView workbookViewId="0">
      <selection activeCell="E15" sqref="E15"/>
    </sheetView>
  </sheetViews>
  <sheetFormatPr defaultRowHeight="14.4" x14ac:dyDescent="0.3"/>
  <cols>
    <col min="1" max="1" width="41.77734375" customWidth="1"/>
    <col min="2" max="2" width="11.77734375" customWidth="1"/>
    <col min="3" max="3" width="11.21875" customWidth="1"/>
    <col min="4" max="4" width="9.6640625" bestFit="1" customWidth="1"/>
  </cols>
  <sheetData>
    <row r="3" spans="1:6" s="308" customFormat="1" x14ac:dyDescent="0.3">
      <c r="A3" s="310" t="s">
        <v>181</v>
      </c>
      <c r="B3" s="311">
        <v>350000</v>
      </c>
    </row>
    <row r="4" spans="1:6" s="308" customFormat="1" x14ac:dyDescent="0.3">
      <c r="A4" s="308" t="s">
        <v>182</v>
      </c>
      <c r="B4" s="311">
        <v>500000</v>
      </c>
    </row>
    <row r="6" spans="1:6" s="308" customFormat="1" x14ac:dyDescent="0.3">
      <c r="A6" s="49" t="s">
        <v>120</v>
      </c>
    </row>
    <row r="7" spans="1:6" s="308" customFormat="1" x14ac:dyDescent="0.3">
      <c r="A7" s="309" t="s">
        <v>121</v>
      </c>
      <c r="B7" s="371">
        <v>800000</v>
      </c>
    </row>
    <row r="8" spans="1:6" s="308" customFormat="1" x14ac:dyDescent="0.3">
      <c r="A8" s="49" t="s">
        <v>122</v>
      </c>
      <c r="B8" s="371">
        <v>880000</v>
      </c>
    </row>
    <row r="11" spans="1:6" s="308" customFormat="1" x14ac:dyDescent="0.3">
      <c r="A11" s="308" t="s">
        <v>190</v>
      </c>
    </row>
    <row r="13" spans="1:6" s="308" customFormat="1" x14ac:dyDescent="0.3">
      <c r="A13" s="308" t="s">
        <v>196</v>
      </c>
      <c r="B13" s="314">
        <v>300000</v>
      </c>
    </row>
    <row r="16" spans="1:6" s="326" customFormat="1" x14ac:dyDescent="0.3">
      <c r="A16" s="327" t="s">
        <v>198</v>
      </c>
      <c r="B16" s="372">
        <v>500000</v>
      </c>
      <c r="C16" s="290"/>
      <c r="D16" s="301"/>
      <c r="E16" s="327"/>
      <c r="F16" s="327"/>
    </row>
    <row r="18" spans="1:6" ht="18.45" customHeight="1" x14ac:dyDescent="0.3">
      <c r="A18" s="123" t="s">
        <v>145</v>
      </c>
      <c r="B18" s="286" t="s">
        <v>139</v>
      </c>
      <c r="C18" s="123" t="s">
        <v>135</v>
      </c>
      <c r="D18" s="291">
        <v>2000000</v>
      </c>
      <c r="E18" s="286"/>
      <c r="F18" s="28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3467-763A-4137-92CD-FC9B8335042F}">
  <dimension ref="A1:G20"/>
  <sheetViews>
    <sheetView topLeftCell="A14" zoomScaleNormal="100" workbookViewId="0">
      <selection activeCell="D18" sqref="D18"/>
    </sheetView>
  </sheetViews>
  <sheetFormatPr defaultRowHeight="14.4" x14ac:dyDescent="0.3"/>
  <cols>
    <col min="1" max="1" width="31.21875" customWidth="1"/>
    <col min="2" max="2" width="17.5546875" customWidth="1"/>
    <col min="3" max="4" width="17.21875" bestFit="1" customWidth="1"/>
    <col min="6" max="6" width="12.77734375" bestFit="1" customWidth="1"/>
    <col min="7" max="7" width="12.21875" bestFit="1" customWidth="1"/>
  </cols>
  <sheetData>
    <row r="1" spans="1:4" hidden="1" x14ac:dyDescent="0.3">
      <c r="A1" s="351" t="s">
        <v>221</v>
      </c>
      <c r="B1" s="352"/>
      <c r="C1" s="352"/>
      <c r="D1" s="352"/>
    </row>
    <row r="2" spans="1:4" x14ac:dyDescent="0.3">
      <c r="C2">
        <v>0</v>
      </c>
    </row>
    <row r="5" spans="1:4" x14ac:dyDescent="0.3">
      <c r="A5" t="s">
        <v>222</v>
      </c>
      <c r="B5" s="353" t="s">
        <v>223</v>
      </c>
      <c r="C5" s="308" t="s">
        <v>224</v>
      </c>
      <c r="D5" s="308" t="s">
        <v>225</v>
      </c>
    </row>
    <row r="7" spans="1:4" x14ac:dyDescent="0.3">
      <c r="A7" t="s">
        <v>226</v>
      </c>
      <c r="B7" s="354">
        <v>241654000</v>
      </c>
      <c r="C7" s="354">
        <v>254298000</v>
      </c>
      <c r="D7" s="354">
        <v>266256000</v>
      </c>
    </row>
    <row r="8" spans="1:4" x14ac:dyDescent="0.3">
      <c r="A8" t="s">
        <v>227</v>
      </c>
      <c r="B8" s="354">
        <f>50425000*5%</f>
        <v>2521250</v>
      </c>
      <c r="C8" s="354">
        <f>52801000*5%</f>
        <v>2640050</v>
      </c>
      <c r="D8" s="354">
        <f>57223000*5%</f>
        <v>2861150</v>
      </c>
    </row>
    <row r="9" spans="1:4" x14ac:dyDescent="0.3">
      <c r="A9" t="s">
        <v>228</v>
      </c>
      <c r="B9" s="354">
        <v>1800000</v>
      </c>
      <c r="C9" s="354">
        <v>1900000</v>
      </c>
      <c r="D9" s="354">
        <v>2000000</v>
      </c>
    </row>
    <row r="10" spans="1:4" x14ac:dyDescent="0.3">
      <c r="A10" t="s">
        <v>229</v>
      </c>
      <c r="B10" s="354">
        <v>1311000</v>
      </c>
      <c r="C10" s="354"/>
      <c r="D10" s="354"/>
    </row>
    <row r="11" spans="1:4" x14ac:dyDescent="0.3">
      <c r="A11" t="s">
        <v>230</v>
      </c>
      <c r="B11" s="355">
        <f>SUM(B7:B10)</f>
        <v>247286250</v>
      </c>
      <c r="C11" s="355">
        <f>SUM(C7:C10)</f>
        <v>258838050</v>
      </c>
      <c r="D11" s="355">
        <f>SUM(D7:D10)</f>
        <v>271117150</v>
      </c>
    </row>
    <row r="12" spans="1:4" x14ac:dyDescent="0.3">
      <c r="B12" s="354"/>
      <c r="C12" s="354"/>
      <c r="D12" s="354"/>
    </row>
    <row r="13" spans="1:4" x14ac:dyDescent="0.3">
      <c r="A13" t="s">
        <v>63</v>
      </c>
      <c r="B13" s="354">
        <f>50425000*95%</f>
        <v>47903750</v>
      </c>
      <c r="C13" s="357">
        <f>52801000*95%</f>
        <v>50160950</v>
      </c>
      <c r="D13" s="354">
        <f>57223000*95%</f>
        <v>54361850</v>
      </c>
    </row>
    <row r="14" spans="1:4" s="58" customFormat="1" x14ac:dyDescent="0.3">
      <c r="A14" s="58" t="s">
        <v>143</v>
      </c>
      <c r="B14" s="357"/>
      <c r="C14" s="357">
        <v>12412000</v>
      </c>
      <c r="D14" s="357">
        <v>11212000</v>
      </c>
    </row>
    <row r="15" spans="1:4" s="58" customFormat="1" x14ac:dyDescent="0.3">
      <c r="A15" s="358" t="s">
        <v>231</v>
      </c>
      <c r="B15" s="357">
        <v>4000000</v>
      </c>
      <c r="C15" s="357">
        <v>4000000</v>
      </c>
      <c r="D15" s="357"/>
    </row>
    <row r="16" spans="1:4" x14ac:dyDescent="0.3">
      <c r="A16" s="351" t="s">
        <v>64</v>
      </c>
      <c r="B16" s="354">
        <v>39147000</v>
      </c>
      <c r="C16" s="354">
        <v>35000000</v>
      </c>
      <c r="D16" s="354">
        <v>45000000</v>
      </c>
    </row>
    <row r="17" spans="1:7" x14ac:dyDescent="0.3">
      <c r="A17" s="351" t="s">
        <v>232</v>
      </c>
      <c r="B17" s="356">
        <v>102954000</v>
      </c>
      <c r="C17" s="356">
        <v>103300000</v>
      </c>
      <c r="D17" s="356">
        <v>87611000</v>
      </c>
      <c r="F17" s="359"/>
    </row>
    <row r="18" spans="1:7" x14ac:dyDescent="0.3">
      <c r="A18" s="308" t="s">
        <v>233</v>
      </c>
      <c r="B18" s="355">
        <f>SUM(B13:B17)</f>
        <v>194004750</v>
      </c>
      <c r="C18" s="355">
        <f>SUM(C13:C17)</f>
        <v>204872950</v>
      </c>
      <c r="D18" s="355">
        <f>SUM(D13:D17)</f>
        <v>198184850</v>
      </c>
      <c r="F18" s="359"/>
      <c r="G18" s="359"/>
    </row>
    <row r="20" spans="1:7" x14ac:dyDescent="0.3">
      <c r="A20" s="308" t="s">
        <v>234</v>
      </c>
      <c r="B20" s="355">
        <f>B11+B18</f>
        <v>441291000</v>
      </c>
      <c r="C20" s="355">
        <f>C11+C18</f>
        <v>463711000</v>
      </c>
      <c r="D20" s="355">
        <f>D11+D18</f>
        <v>469302000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25AB7-FA1D-4159-AF37-D9993AF50F8F}">
  <sheetPr>
    <tabColor theme="8"/>
  </sheetPr>
  <dimension ref="A3:I88"/>
  <sheetViews>
    <sheetView topLeftCell="A72" workbookViewId="0">
      <selection activeCell="A75" sqref="A75:XFD88"/>
    </sheetView>
  </sheetViews>
  <sheetFormatPr defaultRowHeight="14.4" x14ac:dyDescent="0.3"/>
  <cols>
    <col min="1" max="1" width="54.77734375" style="210" customWidth="1"/>
    <col min="2" max="2" width="10.33203125" style="210" customWidth="1"/>
    <col min="3" max="3" width="18.77734375" style="210" customWidth="1"/>
    <col min="4" max="4" width="14.77734375" style="290" bestFit="1" customWidth="1"/>
    <col min="5" max="5" width="14.77734375" style="210" bestFit="1" customWidth="1"/>
    <col min="6" max="6" width="16.21875" style="210" customWidth="1"/>
    <col min="7" max="7" width="14.77734375" style="5" bestFit="1" customWidth="1"/>
    <col min="8" max="8" width="15.44140625" style="5" bestFit="1" customWidth="1"/>
    <col min="9" max="9" width="8.77734375" style="5"/>
  </cols>
  <sheetData>
    <row r="3" spans="1:7" ht="15" thickBot="1" x14ac:dyDescent="0.35">
      <c r="A3" s="1" t="s">
        <v>186</v>
      </c>
    </row>
    <row r="4" spans="1:7" ht="22.5" customHeight="1" thickBot="1" x14ac:dyDescent="0.35">
      <c r="A4" s="110" t="s">
        <v>119</v>
      </c>
      <c r="B4" s="110" t="s">
        <v>185</v>
      </c>
      <c r="C4" s="110" t="s">
        <v>1</v>
      </c>
      <c r="D4" s="110" t="s">
        <v>154</v>
      </c>
      <c r="E4" s="110" t="s">
        <v>155</v>
      </c>
      <c r="F4" s="110" t="s">
        <v>156</v>
      </c>
    </row>
    <row r="5" spans="1:7" ht="27" customHeight="1" x14ac:dyDescent="0.3">
      <c r="A5" s="52" t="s">
        <v>183</v>
      </c>
      <c r="B5" s="53" t="s">
        <v>63</v>
      </c>
      <c r="C5" s="303" t="s">
        <v>174</v>
      </c>
      <c r="D5" s="289">
        <f>15000000-3000000</f>
        <v>12000000</v>
      </c>
      <c r="E5" s="289">
        <f>10000000+3000000</f>
        <v>13000000</v>
      </c>
      <c r="F5" s="53"/>
    </row>
    <row r="6" spans="1:7" x14ac:dyDescent="0.3">
      <c r="A6" s="53" t="s">
        <v>177</v>
      </c>
      <c r="B6" s="53" t="s">
        <v>63</v>
      </c>
      <c r="C6" s="303" t="s">
        <v>174</v>
      </c>
      <c r="D6" s="289">
        <f>8000000</f>
        <v>8000000</v>
      </c>
      <c r="E6" s="289">
        <v>15000000</v>
      </c>
      <c r="F6" s="53"/>
    </row>
    <row r="7" spans="1:7" x14ac:dyDescent="0.3">
      <c r="A7" s="53" t="s">
        <v>178</v>
      </c>
      <c r="B7" s="53" t="s">
        <v>63</v>
      </c>
      <c r="C7" s="303" t="s">
        <v>174</v>
      </c>
      <c r="D7" s="289">
        <f>(18000000-8000000-539050-15000)-135000</f>
        <v>9310950</v>
      </c>
      <c r="E7" s="289">
        <v>15000000</v>
      </c>
      <c r="F7" s="53"/>
    </row>
    <row r="8" spans="1:7" x14ac:dyDescent="0.3">
      <c r="A8" s="303" t="s">
        <v>162</v>
      </c>
      <c r="B8" s="305" t="s">
        <v>63</v>
      </c>
      <c r="C8" s="303" t="s">
        <v>174</v>
      </c>
      <c r="D8" s="304">
        <f>16700000-7000000-350000</f>
        <v>9350000</v>
      </c>
      <c r="E8" s="305">
        <f>10000000+1361850</f>
        <v>11361850</v>
      </c>
      <c r="F8" s="305"/>
    </row>
    <row r="9" spans="1:7" ht="15" thickBot="1" x14ac:dyDescent="0.35">
      <c r="A9" s="123" t="s">
        <v>133</v>
      </c>
      <c r="B9" s="286" t="s">
        <v>63</v>
      </c>
      <c r="C9" s="123" t="s">
        <v>135</v>
      </c>
      <c r="D9" s="291">
        <f>19500000-8000000</f>
        <v>11500000</v>
      </c>
      <c r="E9" s="286"/>
      <c r="F9" s="286"/>
      <c r="G9" s="354"/>
    </row>
    <row r="10" spans="1:7" ht="22.5" customHeight="1" thickBot="1" x14ac:dyDescent="0.35">
      <c r="A10" s="110"/>
      <c r="B10" s="110"/>
      <c r="C10" s="110"/>
      <c r="D10" s="110">
        <f>SUM(D5:D9)</f>
        <v>50160950</v>
      </c>
      <c r="E10" s="110">
        <f>SUM(E5:E9)</f>
        <v>54361850</v>
      </c>
      <c r="F10" s="110"/>
      <c r="G10" s="367"/>
    </row>
    <row r="11" spans="1:7" ht="15" thickBot="1" x14ac:dyDescent="0.35">
      <c r="A11" s="123"/>
      <c r="B11" s="286"/>
      <c r="C11" s="123"/>
      <c r="D11" s="291"/>
      <c r="E11" s="286"/>
      <c r="F11" s="286"/>
      <c r="G11" s="367"/>
    </row>
    <row r="12" spans="1:7" ht="33.450000000000003" customHeight="1" thickBot="1" x14ac:dyDescent="0.35">
      <c r="A12" s="110" t="s">
        <v>141</v>
      </c>
      <c r="B12" s="110" t="s">
        <v>143</v>
      </c>
      <c r="C12" s="110" t="s">
        <v>135</v>
      </c>
      <c r="D12" s="110">
        <v>12412000</v>
      </c>
      <c r="E12" s="110">
        <v>11212000</v>
      </c>
      <c r="F12" s="110"/>
    </row>
    <row r="13" spans="1:7" ht="15" thickBot="1" x14ac:dyDescent="0.35">
      <c r="A13" s="123"/>
      <c r="B13" s="286"/>
      <c r="C13" s="123"/>
      <c r="D13" s="291"/>
      <c r="E13" s="286"/>
      <c r="F13" s="286"/>
    </row>
    <row r="14" spans="1:7" ht="34.950000000000003" customHeight="1" thickBot="1" x14ac:dyDescent="0.35">
      <c r="A14" s="110" t="s">
        <v>142</v>
      </c>
      <c r="B14" s="110" t="s">
        <v>144</v>
      </c>
      <c r="C14" s="110" t="s">
        <v>135</v>
      </c>
      <c r="D14" s="110">
        <v>4000000</v>
      </c>
      <c r="E14" s="110"/>
      <c r="F14" s="110"/>
    </row>
    <row r="15" spans="1:7" hidden="1" x14ac:dyDescent="0.3">
      <c r="A15" s="49"/>
      <c r="B15" s="49"/>
      <c r="C15" s="49" t="s">
        <v>77</v>
      </c>
      <c r="D15" s="292"/>
      <c r="E15" s="49"/>
      <c r="F15" s="49"/>
    </row>
    <row r="16" spans="1:7" hidden="1" x14ac:dyDescent="0.3">
      <c r="A16" s="53"/>
      <c r="B16" s="53"/>
      <c r="C16" s="53" t="s">
        <v>78</v>
      </c>
      <c r="D16" s="293"/>
      <c r="E16" s="53"/>
      <c r="F16" s="53"/>
    </row>
    <row r="17" spans="1:9" hidden="1" x14ac:dyDescent="0.3">
      <c r="A17" s="53"/>
      <c r="B17" s="53"/>
      <c r="C17" s="53" t="s">
        <v>79</v>
      </c>
      <c r="D17" s="293"/>
      <c r="E17" s="53"/>
      <c r="F17" s="53"/>
    </row>
    <row r="18" spans="1:9" hidden="1" x14ac:dyDescent="0.3">
      <c r="A18" s="53"/>
      <c r="B18" s="53"/>
      <c r="C18" s="53" t="s">
        <v>80</v>
      </c>
      <c r="D18" s="293"/>
      <c r="E18" s="53"/>
      <c r="F18" s="53"/>
    </row>
    <row r="19" spans="1:9" hidden="1" x14ac:dyDescent="0.3">
      <c r="A19" s="215"/>
      <c r="B19" s="215"/>
      <c r="C19" s="215" t="s">
        <v>15</v>
      </c>
      <c r="D19" s="294"/>
      <c r="E19" s="215"/>
      <c r="F19" s="215"/>
    </row>
    <row r="20" spans="1:9" hidden="1" x14ac:dyDescent="0.3">
      <c r="A20" s="215"/>
      <c r="B20" s="215"/>
      <c r="C20" s="215" t="s">
        <v>81</v>
      </c>
      <c r="D20" s="294"/>
      <c r="E20" s="215"/>
      <c r="F20" s="215"/>
    </row>
    <row r="21" spans="1:9" hidden="1" x14ac:dyDescent="0.3"/>
    <row r="22" spans="1:9" s="2" customFormat="1" hidden="1" x14ac:dyDescent="0.3">
      <c r="A22" s="210" t="s">
        <v>82</v>
      </c>
      <c r="B22" s="210"/>
      <c r="C22" s="210"/>
      <c r="D22" s="290"/>
      <c r="E22" s="210"/>
      <c r="F22" s="210"/>
      <c r="G22" s="256"/>
      <c r="H22" s="256"/>
      <c r="I22" s="256"/>
    </row>
    <row r="23" spans="1:9" s="2" customFormat="1" hidden="1" x14ac:dyDescent="0.3">
      <c r="A23" s="210" t="s">
        <v>83</v>
      </c>
      <c r="B23" s="210"/>
      <c r="C23" s="210"/>
      <c r="D23" s="290"/>
      <c r="E23" s="210"/>
      <c r="F23" s="210"/>
      <c r="G23" s="256"/>
      <c r="H23" s="256"/>
      <c r="I23" s="256"/>
    </row>
    <row r="24" spans="1:9" s="2" customFormat="1" hidden="1" x14ac:dyDescent="0.3">
      <c r="A24" s="210"/>
      <c r="B24" s="210"/>
      <c r="C24" s="210"/>
      <c r="D24" s="290"/>
      <c r="E24" s="210"/>
      <c r="F24" s="210"/>
      <c r="G24" s="256"/>
      <c r="H24" s="256"/>
      <c r="I24" s="256"/>
    </row>
    <row r="25" spans="1:9" s="2" customFormat="1" hidden="1" x14ac:dyDescent="0.3">
      <c r="A25" s="210" t="s">
        <v>84</v>
      </c>
      <c r="B25" s="210"/>
      <c r="C25" s="210"/>
      <c r="D25" s="290"/>
      <c r="E25" s="210"/>
      <c r="F25" s="210"/>
      <c r="G25" s="256"/>
      <c r="H25" s="256"/>
      <c r="I25" s="256"/>
    </row>
    <row r="26" spans="1:9" hidden="1" x14ac:dyDescent="0.3"/>
    <row r="27" spans="1:9" hidden="1" x14ac:dyDescent="0.3"/>
    <row r="28" spans="1:9" ht="15" thickBot="1" x14ac:dyDescent="0.35"/>
    <row r="29" spans="1:9" s="193" customFormat="1" ht="30.45" customHeight="1" thickBot="1" x14ac:dyDescent="0.35">
      <c r="A29" s="299" t="s">
        <v>127</v>
      </c>
      <c r="B29" s="299" t="s">
        <v>64</v>
      </c>
      <c r="C29" s="325" t="s">
        <v>175</v>
      </c>
      <c r="D29" s="312">
        <f>46701461.91-15000000</f>
        <v>31701461.909999996</v>
      </c>
      <c r="E29" s="312">
        <v>25000000</v>
      </c>
      <c r="F29" s="299"/>
      <c r="G29" s="95"/>
      <c r="H29" s="94"/>
      <c r="I29" s="94"/>
    </row>
    <row r="30" spans="1:9" s="58" customFormat="1" ht="15" thickBot="1" x14ac:dyDescent="0.35">
      <c r="A30" s="297" t="s">
        <v>129</v>
      </c>
      <c r="B30" s="297" t="s">
        <v>64</v>
      </c>
      <c r="C30" s="298" t="s">
        <v>175</v>
      </c>
      <c r="D30" s="312">
        <f>42533884.09-15000000</f>
        <v>27533884.090000004</v>
      </c>
      <c r="E30" s="312">
        <v>28858981.359999999</v>
      </c>
      <c r="F30" s="297"/>
      <c r="G30" s="95"/>
      <c r="H30" s="6"/>
      <c r="I30" s="6"/>
    </row>
    <row r="31" spans="1:9" s="58" customFormat="1" ht="29.4" thickBot="1" x14ac:dyDescent="0.35">
      <c r="A31" s="297" t="s">
        <v>128</v>
      </c>
      <c r="B31" s="297" t="s">
        <v>64</v>
      </c>
      <c r="C31" s="298" t="s">
        <v>175</v>
      </c>
      <c r="D31" s="312">
        <f>41392865.45-10000000</f>
        <v>31392865.450000003</v>
      </c>
      <c r="E31" s="312">
        <v>19141018.640000001</v>
      </c>
      <c r="F31" s="297"/>
      <c r="G31" s="95"/>
      <c r="H31" s="6"/>
      <c r="I31" s="6"/>
    </row>
    <row r="32" spans="1:9" s="58" customFormat="1" ht="29.4" thickBot="1" x14ac:dyDescent="0.35">
      <c r="A32" s="297" t="s">
        <v>130</v>
      </c>
      <c r="B32" s="297" t="s">
        <v>64</v>
      </c>
      <c r="C32" s="298" t="s">
        <v>175</v>
      </c>
      <c r="D32" s="312">
        <f>32199562.58-15000000</f>
        <v>17199562.579999998</v>
      </c>
      <c r="E32" s="312">
        <v>20000000</v>
      </c>
      <c r="F32" s="297"/>
      <c r="G32" s="95"/>
      <c r="H32" s="6"/>
      <c r="I32" s="6"/>
    </row>
    <row r="33" spans="1:9" s="58" customFormat="1" ht="24" customHeight="1" thickBot="1" x14ac:dyDescent="0.35">
      <c r="A33" s="297" t="s">
        <v>131</v>
      </c>
      <c r="B33" s="297" t="s">
        <v>64</v>
      </c>
      <c r="C33" s="298" t="s">
        <v>175</v>
      </c>
      <c r="D33" s="312">
        <f>39931312-9459086.03</f>
        <v>30472225.969999999</v>
      </c>
      <c r="E33" s="312">
        <v>19459086.030000001</v>
      </c>
      <c r="F33" s="297"/>
      <c r="G33" s="95"/>
      <c r="H33" s="6"/>
      <c r="I33" s="6"/>
    </row>
    <row r="34" spans="1:9" s="58" customFormat="1" ht="46.95" customHeight="1" thickBot="1" x14ac:dyDescent="0.35">
      <c r="A34" s="297" t="s">
        <v>188</v>
      </c>
      <c r="B34" s="297" t="s">
        <v>64</v>
      </c>
      <c r="C34" s="298" t="s">
        <v>189</v>
      </c>
      <c r="D34" s="312">
        <f>49000000-10000000</f>
        <v>39000000</v>
      </c>
      <c r="E34" s="312">
        <f>15000000+5151914</f>
        <v>20151914</v>
      </c>
      <c r="F34" s="297"/>
      <c r="G34" s="95"/>
      <c r="H34" s="6"/>
      <c r="I34" s="6"/>
    </row>
    <row r="35" spans="1:9" s="326" customFormat="1" ht="29.4" thickBot="1" x14ac:dyDescent="0.35">
      <c r="A35" s="299" t="s">
        <v>197</v>
      </c>
      <c r="B35" s="299" t="s">
        <v>64</v>
      </c>
      <c r="C35" s="325" t="s">
        <v>189</v>
      </c>
      <c r="D35" s="312">
        <v>20000000</v>
      </c>
      <c r="E35" s="312">
        <v>0</v>
      </c>
      <c r="F35" s="299"/>
      <c r="G35" s="95"/>
      <c r="H35" s="366"/>
      <c r="I35" s="192"/>
    </row>
    <row r="36" spans="1:9" s="193" customFormat="1" ht="19.5" customHeight="1" thickBot="1" x14ac:dyDescent="0.35">
      <c r="A36" s="362"/>
      <c r="B36" s="296"/>
      <c r="C36" s="362" t="s">
        <v>132</v>
      </c>
      <c r="D36" s="296">
        <f>SUM(D29:D33)</f>
        <v>138300000</v>
      </c>
      <c r="E36" s="296">
        <f>SUM(E29:E35)</f>
        <v>132611000.03</v>
      </c>
      <c r="F36" s="296"/>
      <c r="G36" s="363"/>
      <c r="H36" s="364"/>
      <c r="I36" s="94"/>
    </row>
    <row r="37" spans="1:9" ht="25.5" customHeight="1" thickBot="1" x14ac:dyDescent="0.35">
      <c r="C37" s="360"/>
      <c r="D37" s="361"/>
      <c r="F37" s="360"/>
      <c r="G37" s="87"/>
      <c r="H37" s="87"/>
    </row>
    <row r="38" spans="1:9" s="349" customFormat="1" ht="31.5" customHeight="1" thickBot="1" x14ac:dyDescent="0.35">
      <c r="A38" s="347" t="s">
        <v>236</v>
      </c>
      <c r="B38" s="347" t="s">
        <v>139</v>
      </c>
      <c r="C38" s="348" t="s">
        <v>189</v>
      </c>
      <c r="D38" s="368">
        <v>1200000</v>
      </c>
      <c r="E38" s="347"/>
      <c r="F38" s="347"/>
      <c r="G38" s="365"/>
      <c r="H38" s="192"/>
      <c r="I38" s="192"/>
    </row>
    <row r="39" spans="1:9" s="349" customFormat="1" ht="25.05" customHeight="1" thickBot="1" x14ac:dyDescent="0.35">
      <c r="A39" s="347" t="s">
        <v>235</v>
      </c>
      <c r="B39" s="347" t="s">
        <v>139</v>
      </c>
      <c r="C39" s="348" t="s">
        <v>189</v>
      </c>
      <c r="D39" s="368">
        <v>500000</v>
      </c>
      <c r="E39" s="347"/>
      <c r="F39" s="347"/>
      <c r="G39" s="365"/>
      <c r="H39" s="192"/>
      <c r="I39" s="192"/>
    </row>
    <row r="40" spans="1:9" s="349" customFormat="1" ht="45" customHeight="1" thickBot="1" x14ac:dyDescent="0.35">
      <c r="A40" s="347" t="s">
        <v>195</v>
      </c>
      <c r="B40" s="347" t="s">
        <v>139</v>
      </c>
      <c r="C40" s="348" t="s">
        <v>193</v>
      </c>
      <c r="D40" s="368">
        <v>1200000</v>
      </c>
      <c r="E40" s="347"/>
      <c r="F40" s="347"/>
      <c r="G40" s="366"/>
      <c r="H40" s="192"/>
      <c r="I40" s="192"/>
    </row>
    <row r="41" spans="1:9" s="326" customFormat="1" ht="15" thickBot="1" x14ac:dyDescent="0.35">
      <c r="A41" s="333" t="s">
        <v>210</v>
      </c>
      <c r="B41" s="334" t="s">
        <v>139</v>
      </c>
      <c r="C41" s="337" t="s">
        <v>194</v>
      </c>
      <c r="D41" s="335">
        <v>106661.99</v>
      </c>
      <c r="E41" s="328"/>
      <c r="F41" s="328"/>
      <c r="G41" s="192"/>
      <c r="H41" s="192"/>
      <c r="I41" s="192"/>
    </row>
    <row r="42" spans="1:9" s="326" customFormat="1" ht="15" thickBot="1" x14ac:dyDescent="0.35">
      <c r="A42" s="333" t="s">
        <v>211</v>
      </c>
      <c r="B42" s="334" t="s">
        <v>139</v>
      </c>
      <c r="C42" s="337" t="s">
        <v>194</v>
      </c>
      <c r="D42" s="335">
        <v>561200</v>
      </c>
      <c r="E42" s="328"/>
      <c r="F42" s="328"/>
      <c r="G42" s="192"/>
      <c r="H42" s="192"/>
      <c r="I42" s="192"/>
    </row>
    <row r="43" spans="1:9" s="326" customFormat="1" ht="15" thickBot="1" x14ac:dyDescent="0.35">
      <c r="A43" s="333" t="s">
        <v>212</v>
      </c>
      <c r="B43" s="334" t="s">
        <v>139</v>
      </c>
      <c r="C43" s="337" t="s">
        <v>194</v>
      </c>
      <c r="D43" s="335">
        <v>165600</v>
      </c>
      <c r="E43" s="328"/>
      <c r="F43" s="328"/>
      <c r="G43" s="192"/>
      <c r="H43" s="192"/>
      <c r="I43" s="192"/>
    </row>
    <row r="44" spans="1:9" s="326" customFormat="1" ht="15" thickBot="1" x14ac:dyDescent="0.35">
      <c r="A44" s="333" t="s">
        <v>213</v>
      </c>
      <c r="B44" s="334" t="s">
        <v>139</v>
      </c>
      <c r="C44" s="337" t="s">
        <v>194</v>
      </c>
      <c r="D44" s="335">
        <v>252885</v>
      </c>
      <c r="E44" s="328"/>
      <c r="F44" s="328"/>
      <c r="G44" s="192"/>
      <c r="H44" s="192"/>
      <c r="I44" s="192"/>
    </row>
    <row r="45" spans="1:9" s="326" customFormat="1" ht="21" customHeight="1" thickBot="1" x14ac:dyDescent="0.35">
      <c r="A45" s="328" t="s">
        <v>200</v>
      </c>
      <c r="B45" s="328" t="s">
        <v>139</v>
      </c>
      <c r="C45" s="338" t="s">
        <v>199</v>
      </c>
      <c r="D45" s="336">
        <v>1500000</v>
      </c>
      <c r="E45" s="328"/>
      <c r="F45" s="328"/>
      <c r="G45" s="192"/>
      <c r="H45" s="192"/>
      <c r="I45" s="192"/>
    </row>
    <row r="46" spans="1:9" ht="22.95" customHeight="1" x14ac:dyDescent="0.3">
      <c r="A46" s="123" t="s">
        <v>191</v>
      </c>
      <c r="B46" s="123" t="s">
        <v>139</v>
      </c>
      <c r="C46" s="113" t="s">
        <v>192</v>
      </c>
      <c r="D46" s="26">
        <v>1500000</v>
      </c>
      <c r="E46" s="123"/>
      <c r="F46" s="123"/>
    </row>
    <row r="47" spans="1:9" x14ac:dyDescent="0.3">
      <c r="A47" s="123" t="s">
        <v>201</v>
      </c>
      <c r="B47" s="123" t="s">
        <v>139</v>
      </c>
      <c r="C47" s="114" t="s">
        <v>192</v>
      </c>
      <c r="D47" s="26">
        <v>800000</v>
      </c>
      <c r="E47" s="123"/>
      <c r="F47" s="123"/>
    </row>
    <row r="48" spans="1:9" s="308" customFormat="1" x14ac:dyDescent="0.3">
      <c r="A48" s="331" t="s">
        <v>218</v>
      </c>
      <c r="B48" s="331" t="s">
        <v>139</v>
      </c>
      <c r="C48" s="237" t="s">
        <v>175</v>
      </c>
      <c r="D48" s="332">
        <v>2500000</v>
      </c>
      <c r="E48" s="331"/>
      <c r="F48" s="331"/>
      <c r="G48" s="310"/>
      <c r="H48" s="310"/>
      <c r="I48" s="310"/>
    </row>
    <row r="49" spans="1:9" s="308" customFormat="1" x14ac:dyDescent="0.3">
      <c r="A49" s="331" t="s">
        <v>219</v>
      </c>
      <c r="B49" s="331" t="s">
        <v>139</v>
      </c>
      <c r="C49" s="237" t="s">
        <v>175</v>
      </c>
      <c r="D49" s="332">
        <v>1000000</v>
      </c>
      <c r="E49" s="331"/>
      <c r="F49" s="331"/>
      <c r="G49" s="310"/>
      <c r="H49" s="310"/>
      <c r="I49" s="310"/>
    </row>
    <row r="50" spans="1:9" s="308" customFormat="1" x14ac:dyDescent="0.3">
      <c r="A50" s="331" t="s">
        <v>220</v>
      </c>
      <c r="B50" s="331" t="s">
        <v>139</v>
      </c>
      <c r="C50" s="237" t="s">
        <v>175</v>
      </c>
      <c r="D50" s="332">
        <v>500000</v>
      </c>
      <c r="E50" s="331"/>
      <c r="F50" s="331"/>
      <c r="G50" s="310"/>
      <c r="H50" s="310"/>
      <c r="I50" s="310"/>
    </row>
    <row r="51" spans="1:9" x14ac:dyDescent="0.3">
      <c r="A51" s="329" t="s">
        <v>179</v>
      </c>
      <c r="B51" s="123" t="s">
        <v>139</v>
      </c>
      <c r="C51" s="114" t="s">
        <v>180</v>
      </c>
      <c r="D51" s="291">
        <v>5000000</v>
      </c>
      <c r="E51" s="286">
        <v>5000000</v>
      </c>
      <c r="F51" s="123"/>
    </row>
    <row r="52" spans="1:9" ht="28.05" customHeight="1" x14ac:dyDescent="0.3">
      <c r="A52" s="123" t="s">
        <v>161</v>
      </c>
      <c r="B52" s="123" t="s">
        <v>139</v>
      </c>
      <c r="C52" s="114" t="s">
        <v>135</v>
      </c>
      <c r="D52" s="291">
        <v>500000</v>
      </c>
      <c r="E52" s="123"/>
      <c r="F52" s="123"/>
    </row>
    <row r="53" spans="1:9" ht="21" customHeight="1" x14ac:dyDescent="0.3">
      <c r="A53" s="123" t="s">
        <v>138</v>
      </c>
      <c r="B53" s="286" t="s">
        <v>139</v>
      </c>
      <c r="C53" s="123" t="s">
        <v>135</v>
      </c>
      <c r="E53" s="291">
        <v>1800000</v>
      </c>
      <c r="F53" s="286"/>
    </row>
    <row r="54" spans="1:9" x14ac:dyDescent="0.3">
      <c r="A54" s="123" t="s">
        <v>217</v>
      </c>
      <c r="B54" s="286" t="s">
        <v>139</v>
      </c>
      <c r="C54" s="123" t="s">
        <v>135</v>
      </c>
      <c r="D54" s="291">
        <v>1000000</v>
      </c>
      <c r="E54" s="286"/>
      <c r="F54" s="286"/>
    </row>
    <row r="55" spans="1:9" ht="19.05" customHeight="1" x14ac:dyDescent="0.3">
      <c r="A55" s="123" t="s">
        <v>137</v>
      </c>
      <c r="B55" s="286" t="s">
        <v>140</v>
      </c>
      <c r="C55" s="123" t="s">
        <v>135</v>
      </c>
      <c r="D55" s="291">
        <v>1200000</v>
      </c>
      <c r="E55" s="286"/>
      <c r="F55" s="286"/>
    </row>
    <row r="56" spans="1:9" ht="18.45" customHeight="1" x14ac:dyDescent="0.3">
      <c r="A56" s="123" t="s">
        <v>123</v>
      </c>
      <c r="B56" s="286" t="s">
        <v>140</v>
      </c>
      <c r="C56" s="123" t="s">
        <v>184</v>
      </c>
      <c r="D56" s="291">
        <v>100000</v>
      </c>
      <c r="E56" s="286"/>
      <c r="F56" s="286"/>
    </row>
    <row r="57" spans="1:9" ht="21.45" customHeight="1" x14ac:dyDescent="0.3">
      <c r="A57" s="123" t="s">
        <v>124</v>
      </c>
      <c r="B57" s="286" t="s">
        <v>140</v>
      </c>
      <c r="C57" s="123" t="s">
        <v>184</v>
      </c>
      <c r="D57" s="291">
        <v>200000</v>
      </c>
      <c r="E57" s="286"/>
      <c r="F57" s="286"/>
    </row>
    <row r="58" spans="1:9" ht="20.55" customHeight="1" x14ac:dyDescent="0.3">
      <c r="A58" s="123" t="s">
        <v>125</v>
      </c>
      <c r="B58" s="286" t="s">
        <v>140</v>
      </c>
      <c r="C58" s="123" t="s">
        <v>184</v>
      </c>
      <c r="D58" s="291">
        <v>1500000</v>
      </c>
      <c r="E58" s="286"/>
      <c r="F58" s="286"/>
    </row>
    <row r="59" spans="1:9" ht="32.549999999999997" customHeight="1" x14ac:dyDescent="0.3">
      <c r="A59" s="123" t="s">
        <v>126</v>
      </c>
      <c r="B59" s="286" t="s">
        <v>140</v>
      </c>
      <c r="C59" s="123" t="s">
        <v>184</v>
      </c>
      <c r="D59" s="291">
        <v>500000</v>
      </c>
      <c r="E59" s="286"/>
      <c r="F59" s="286"/>
    </row>
    <row r="60" spans="1:9" x14ac:dyDescent="0.3">
      <c r="A60" s="123" t="s">
        <v>150</v>
      </c>
      <c r="B60" s="286" t="s">
        <v>140</v>
      </c>
      <c r="C60" s="123" t="s">
        <v>153</v>
      </c>
      <c r="D60" s="291">
        <v>1500000</v>
      </c>
      <c r="E60" s="286"/>
      <c r="F60" s="286"/>
    </row>
    <row r="61" spans="1:9" ht="25.05" customHeight="1" x14ac:dyDescent="0.3">
      <c r="A61" s="123" t="s">
        <v>151</v>
      </c>
      <c r="B61" s="286" t="s">
        <v>140</v>
      </c>
      <c r="C61" s="123" t="s">
        <v>153</v>
      </c>
      <c r="D61" s="291">
        <v>110000</v>
      </c>
      <c r="E61" s="286"/>
      <c r="F61" s="286"/>
    </row>
    <row r="62" spans="1:9" ht="19.95" customHeight="1" x14ac:dyDescent="0.3">
      <c r="A62" s="123" t="s">
        <v>152</v>
      </c>
      <c r="B62" s="286" t="s">
        <v>140</v>
      </c>
      <c r="C62" s="123" t="s">
        <v>153</v>
      </c>
      <c r="D62" s="291">
        <v>220000</v>
      </c>
      <c r="E62" s="286"/>
      <c r="F62" s="286"/>
    </row>
    <row r="63" spans="1:9" x14ac:dyDescent="0.3">
      <c r="A63" s="123" t="s">
        <v>146</v>
      </c>
      <c r="B63" s="286" t="s">
        <v>140</v>
      </c>
      <c r="C63" s="123" t="s">
        <v>148</v>
      </c>
      <c r="D63" s="291">
        <v>3500000</v>
      </c>
      <c r="E63" s="286">
        <v>3500000</v>
      </c>
      <c r="F63" s="286"/>
    </row>
    <row r="64" spans="1:9" x14ac:dyDescent="0.3">
      <c r="A64" s="123" t="s">
        <v>149</v>
      </c>
      <c r="B64" s="286" t="s">
        <v>140</v>
      </c>
      <c r="C64" s="123" t="s">
        <v>148</v>
      </c>
      <c r="D64" s="291">
        <v>500000</v>
      </c>
      <c r="E64" s="286">
        <v>500000</v>
      </c>
      <c r="F64" s="286"/>
    </row>
    <row r="65" spans="1:6" x14ac:dyDescent="0.3">
      <c r="A65" s="123" t="s">
        <v>147</v>
      </c>
      <c r="B65" s="286" t="s">
        <v>140</v>
      </c>
      <c r="C65" s="123" t="s">
        <v>148</v>
      </c>
      <c r="D65" s="291">
        <v>300000</v>
      </c>
      <c r="E65" s="286">
        <v>300000</v>
      </c>
      <c r="F65" s="286"/>
    </row>
    <row r="66" spans="1:6" s="5" customFormat="1" ht="43.05" customHeight="1" x14ac:dyDescent="0.3">
      <c r="A66" s="345" t="s">
        <v>157</v>
      </c>
      <c r="B66" s="342" t="s">
        <v>140</v>
      </c>
      <c r="C66" s="346" t="s">
        <v>158</v>
      </c>
      <c r="D66" s="342">
        <v>1000000</v>
      </c>
      <c r="E66" s="340"/>
      <c r="F66" s="340"/>
    </row>
    <row r="67" spans="1:6" s="5" customFormat="1" ht="22.05" customHeight="1" x14ac:dyDescent="0.3">
      <c r="A67" s="339" t="s">
        <v>159</v>
      </c>
      <c r="B67" s="340" t="s">
        <v>140</v>
      </c>
      <c r="C67" s="341" t="s">
        <v>158</v>
      </c>
      <c r="D67" s="342">
        <v>500000</v>
      </c>
      <c r="E67" s="340"/>
      <c r="F67" s="340"/>
    </row>
    <row r="68" spans="1:6" s="5" customFormat="1" x14ac:dyDescent="0.3">
      <c r="A68" s="339" t="s">
        <v>202</v>
      </c>
      <c r="B68" s="340" t="s">
        <v>140</v>
      </c>
      <c r="C68" s="341" t="s">
        <v>158</v>
      </c>
      <c r="D68" s="342">
        <v>1000000</v>
      </c>
      <c r="E68" s="340"/>
      <c r="F68" s="340"/>
    </row>
    <row r="69" spans="1:6" s="5" customFormat="1" ht="25.05" hidden="1" customHeight="1" x14ac:dyDescent="0.3">
      <c r="A69" s="343" t="s">
        <v>160</v>
      </c>
      <c r="B69" s="340" t="s">
        <v>140</v>
      </c>
      <c r="C69" s="341" t="s">
        <v>158</v>
      </c>
      <c r="D69" s="344"/>
      <c r="E69" s="350"/>
      <c r="F69" s="350"/>
    </row>
    <row r="70" spans="1:6" s="5" customFormat="1" ht="19.95" customHeight="1" x14ac:dyDescent="0.3">
      <c r="A70" s="295" t="s">
        <v>117</v>
      </c>
      <c r="B70" s="286" t="s">
        <v>140</v>
      </c>
      <c r="C70" s="123" t="s">
        <v>116</v>
      </c>
      <c r="D70" s="291">
        <v>50000</v>
      </c>
      <c r="E70" s="286"/>
      <c r="F70" s="286"/>
    </row>
    <row r="71" spans="1:6" s="5" customFormat="1" ht="19.95" customHeight="1" x14ac:dyDescent="0.3">
      <c r="A71" s="295" t="s">
        <v>118</v>
      </c>
      <c r="B71" s="286" t="s">
        <v>140</v>
      </c>
      <c r="C71" s="123" t="s">
        <v>116</v>
      </c>
      <c r="D71" s="291">
        <v>50000</v>
      </c>
      <c r="E71" s="286"/>
      <c r="F71" s="286"/>
    </row>
    <row r="72" spans="1:6" s="5" customFormat="1" ht="26.55" customHeight="1" x14ac:dyDescent="0.3">
      <c r="A72" s="295" t="s">
        <v>215</v>
      </c>
      <c r="B72" s="286" t="s">
        <v>140</v>
      </c>
      <c r="C72" s="123" t="s">
        <v>216</v>
      </c>
      <c r="D72" s="291">
        <f>140000*4</f>
        <v>560000</v>
      </c>
      <c r="E72" s="286"/>
      <c r="F72" s="286"/>
    </row>
    <row r="73" spans="1:6" s="5" customFormat="1" ht="19.5" customHeight="1" thickBot="1" x14ac:dyDescent="0.35">
      <c r="A73" s="126"/>
      <c r="B73" s="287"/>
      <c r="C73" s="126"/>
      <c r="D73" s="330">
        <f>SUM(D38:D72)</f>
        <v>31076346.990000002</v>
      </c>
      <c r="E73" s="287"/>
      <c r="F73" s="287"/>
    </row>
    <row r="74" spans="1:6" s="5" customFormat="1" ht="19.95" customHeight="1" x14ac:dyDescent="0.3">
      <c r="A74" s="300"/>
      <c r="B74" s="302"/>
      <c r="C74" s="300"/>
      <c r="D74" s="301"/>
      <c r="E74" s="302"/>
      <c r="F74" s="302"/>
    </row>
    <row r="75" spans="1:6" s="5" customFormat="1" ht="19.95" customHeight="1" x14ac:dyDescent="0.3">
      <c r="A75" s="300"/>
      <c r="B75" s="302"/>
      <c r="C75" s="300"/>
      <c r="D75" s="301"/>
      <c r="E75" s="302"/>
      <c r="F75" s="302"/>
    </row>
    <row r="76" spans="1:6" s="5" customFormat="1" ht="19.95" customHeight="1" x14ac:dyDescent="0.3">
      <c r="A76" s="300"/>
      <c r="B76" s="302"/>
      <c r="C76" s="300"/>
      <c r="D76" s="301"/>
      <c r="E76" s="302"/>
      <c r="F76" s="302"/>
    </row>
    <row r="77" spans="1:6" s="5" customFormat="1" ht="19.95" customHeight="1" x14ac:dyDescent="0.3">
      <c r="A77" s="300"/>
      <c r="B77" s="302"/>
      <c r="C77" s="300"/>
      <c r="D77" s="301"/>
      <c r="E77" s="302"/>
      <c r="F77" s="302"/>
    </row>
    <row r="78" spans="1:6" s="5" customFormat="1" x14ac:dyDescent="0.3">
      <c r="A78" s="210" t="s">
        <v>163</v>
      </c>
      <c r="B78" s="210" t="s">
        <v>165</v>
      </c>
      <c r="C78" s="210"/>
      <c r="D78" s="210" t="s">
        <v>164</v>
      </c>
      <c r="E78" s="210"/>
      <c r="F78" s="210"/>
    </row>
    <row r="79" spans="1:6" s="5" customFormat="1" x14ac:dyDescent="0.3">
      <c r="A79" s="210" t="s">
        <v>166</v>
      </c>
      <c r="B79" s="210" t="s">
        <v>165</v>
      </c>
      <c r="C79" s="210"/>
      <c r="D79" s="210" t="s">
        <v>167</v>
      </c>
      <c r="E79" s="210"/>
      <c r="F79" s="210"/>
    </row>
    <row r="80" spans="1:6" s="5" customFormat="1" x14ac:dyDescent="0.3">
      <c r="A80" s="210" t="s">
        <v>168</v>
      </c>
      <c r="B80" s="210" t="s">
        <v>165</v>
      </c>
      <c r="C80" s="210"/>
      <c r="D80" s="210" t="s">
        <v>169</v>
      </c>
      <c r="E80" s="210"/>
      <c r="F80" s="210"/>
    </row>
    <row r="81" spans="1:9" s="5" customFormat="1" x14ac:dyDescent="0.3">
      <c r="A81" s="210" t="s">
        <v>170</v>
      </c>
      <c r="B81" s="210" t="s">
        <v>165</v>
      </c>
      <c r="C81" s="210"/>
      <c r="D81" s="210" t="s">
        <v>169</v>
      </c>
      <c r="E81" s="210"/>
      <c r="F81" s="210"/>
    </row>
    <row r="82" spans="1:9" s="210" customFormat="1" x14ac:dyDescent="0.3">
      <c r="A82" s="210" t="s">
        <v>171</v>
      </c>
      <c r="B82" s="210" t="s">
        <v>165</v>
      </c>
      <c r="D82" s="210" t="s">
        <v>169</v>
      </c>
      <c r="G82" s="5"/>
      <c r="H82" s="5"/>
      <c r="I82" s="5"/>
    </row>
    <row r="83" spans="1:9" s="210" customFormat="1" x14ac:dyDescent="0.3">
      <c r="A83" s="210" t="s">
        <v>172</v>
      </c>
      <c r="B83" s="210" t="s">
        <v>165</v>
      </c>
      <c r="D83" s="210" t="s">
        <v>169</v>
      </c>
      <c r="G83" s="5"/>
      <c r="H83" s="5"/>
      <c r="I83" s="5"/>
    </row>
    <row r="84" spans="1:9" s="210" customFormat="1" x14ac:dyDescent="0.3">
      <c r="A84" s="210" t="s">
        <v>173</v>
      </c>
      <c r="D84" s="210" t="s">
        <v>169</v>
      </c>
      <c r="G84" s="5"/>
      <c r="H84" s="5"/>
      <c r="I84" s="5"/>
    </row>
    <row r="85" spans="1:9" s="210" customFormat="1" x14ac:dyDescent="0.3">
      <c r="A85" s="210" t="s">
        <v>176</v>
      </c>
      <c r="D85" s="210" t="s">
        <v>169</v>
      </c>
      <c r="G85" s="5"/>
      <c r="H85" s="5"/>
      <c r="I85" s="5"/>
    </row>
    <row r="87" spans="1:9" s="210" customFormat="1" x14ac:dyDescent="0.3">
      <c r="D87" s="306"/>
      <c r="G87" s="5"/>
      <c r="H87" s="5"/>
      <c r="I87" s="5"/>
    </row>
    <row r="88" spans="1:9" s="210" customFormat="1" x14ac:dyDescent="0.3">
      <c r="D88" s="288"/>
      <c r="G88" s="5"/>
      <c r="H88" s="5"/>
      <c r="I88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C2DB0-1373-4832-8B0B-199B1783D715}">
  <sheetPr>
    <tabColor theme="8"/>
  </sheetPr>
  <dimension ref="A1:AL92"/>
  <sheetViews>
    <sheetView topLeftCell="A2" zoomScaleNormal="100" workbookViewId="0">
      <selection activeCell="D33" sqref="D33"/>
    </sheetView>
  </sheetViews>
  <sheetFormatPr defaultRowHeight="14.4" x14ac:dyDescent="0.3"/>
  <cols>
    <col min="1" max="1" width="38.33203125" style="210" customWidth="1"/>
    <col min="2" max="2" width="10.33203125" style="210" customWidth="1"/>
    <col min="3" max="3" width="15.88671875" style="210" hidden="1" customWidth="1"/>
    <col min="4" max="4" width="12.21875" style="290" bestFit="1" customWidth="1"/>
    <col min="5" max="5" width="14.77734375" style="210" bestFit="1" customWidth="1"/>
    <col min="6" max="6" width="16.21875" style="210" customWidth="1"/>
    <col min="7" max="7" width="14.77734375" style="5" bestFit="1" customWidth="1"/>
    <col min="8" max="8" width="15.44140625" style="5" bestFit="1" customWidth="1"/>
    <col min="9" max="38" width="8.77734375" style="5"/>
  </cols>
  <sheetData>
    <row r="1" spans="1:7" hidden="1" x14ac:dyDescent="0.3"/>
    <row r="3" spans="1:7" ht="15" thickBot="1" x14ac:dyDescent="0.35">
      <c r="A3" s="1" t="s">
        <v>186</v>
      </c>
    </row>
    <row r="4" spans="1:7" s="5" customFormat="1" ht="22.5" customHeight="1" thickBot="1" x14ac:dyDescent="0.35">
      <c r="A4" s="110" t="s">
        <v>119</v>
      </c>
      <c r="B4" s="110" t="s">
        <v>185</v>
      </c>
      <c r="C4" s="110" t="s">
        <v>1</v>
      </c>
      <c r="D4" s="110" t="s">
        <v>154</v>
      </c>
      <c r="E4" s="110" t="s">
        <v>155</v>
      </c>
      <c r="F4" s="110" t="s">
        <v>156</v>
      </c>
    </row>
    <row r="5" spans="1:7" ht="27" customHeight="1" x14ac:dyDescent="0.3">
      <c r="A5" s="394" t="s">
        <v>183</v>
      </c>
      <c r="B5" s="215" t="s">
        <v>63</v>
      </c>
      <c r="C5" s="395" t="s">
        <v>174</v>
      </c>
      <c r="D5" s="396">
        <f>15000000-3000000</f>
        <v>12000000</v>
      </c>
      <c r="E5" s="396">
        <f>10000000+3000000</f>
        <v>13000000</v>
      </c>
      <c r="F5" s="215"/>
    </row>
    <row r="6" spans="1:7" x14ac:dyDescent="0.3">
      <c r="A6" s="215" t="s">
        <v>177</v>
      </c>
      <c r="B6" s="215" t="s">
        <v>63</v>
      </c>
      <c r="C6" s="395" t="s">
        <v>174</v>
      </c>
      <c r="D6" s="396">
        <f>8000000</f>
        <v>8000000</v>
      </c>
      <c r="E6" s="396">
        <v>15000000</v>
      </c>
      <c r="F6" s="215"/>
    </row>
    <row r="7" spans="1:7" x14ac:dyDescent="0.3">
      <c r="A7" s="215" t="s">
        <v>178</v>
      </c>
      <c r="B7" s="215" t="s">
        <v>63</v>
      </c>
      <c r="C7" s="395" t="s">
        <v>174</v>
      </c>
      <c r="D7" s="396">
        <f>(18000000-8000000-539050-15000)-135000</f>
        <v>9310950</v>
      </c>
      <c r="E7" s="396">
        <v>15000000</v>
      </c>
      <c r="F7" s="215"/>
    </row>
    <row r="8" spans="1:7" x14ac:dyDescent="0.3">
      <c r="A8" s="395" t="s">
        <v>162</v>
      </c>
      <c r="B8" s="397" t="s">
        <v>63</v>
      </c>
      <c r="C8" s="395" t="s">
        <v>174</v>
      </c>
      <c r="D8" s="398">
        <f>16700000-7000000-350000</f>
        <v>9350000</v>
      </c>
      <c r="E8" s="397">
        <f>10000000+1361850</f>
        <v>11361850</v>
      </c>
      <c r="F8" s="397"/>
    </row>
    <row r="9" spans="1:7" ht="29.4" thickBot="1" x14ac:dyDescent="0.35">
      <c r="A9" s="331" t="s">
        <v>133</v>
      </c>
      <c r="B9" s="370" t="s">
        <v>63</v>
      </c>
      <c r="C9" s="331" t="s">
        <v>135</v>
      </c>
      <c r="D9" s="332">
        <f>19500000-8000000</f>
        <v>11500000</v>
      </c>
      <c r="E9" s="370"/>
      <c r="F9" s="370"/>
      <c r="G9" s="369"/>
    </row>
    <row r="10" spans="1:7" ht="22.5" customHeight="1" thickBot="1" x14ac:dyDescent="0.35">
      <c r="A10" s="110" t="s">
        <v>132</v>
      </c>
      <c r="B10" s="110"/>
      <c r="C10" s="110"/>
      <c r="D10" s="110">
        <f>SUM(D5:D9)</f>
        <v>50160950</v>
      </c>
      <c r="E10" s="110">
        <f>SUM(E5:E9)</f>
        <v>54361850</v>
      </c>
      <c r="F10" s="110"/>
      <c r="G10" s="367"/>
    </row>
    <row r="11" spans="1:7" ht="22.5" customHeight="1" thickBot="1" x14ac:dyDescent="0.35">
      <c r="A11" s="399"/>
      <c r="B11" s="399"/>
      <c r="C11" s="399"/>
      <c r="D11" s="399"/>
      <c r="E11" s="399"/>
      <c r="F11" s="399"/>
      <c r="G11" s="367"/>
    </row>
    <row r="12" spans="1:7" s="5" customFormat="1" ht="22.5" customHeight="1" thickBot="1" x14ac:dyDescent="0.35">
      <c r="A12" s="110" t="s">
        <v>119</v>
      </c>
      <c r="B12" s="110" t="s">
        <v>185</v>
      </c>
      <c r="C12" s="110" t="s">
        <v>1</v>
      </c>
      <c r="D12" s="110" t="s">
        <v>154</v>
      </c>
      <c r="E12" s="110" t="s">
        <v>155</v>
      </c>
      <c r="F12" s="110" t="s">
        <v>156</v>
      </c>
    </row>
    <row r="13" spans="1:7" ht="33.450000000000003" customHeight="1" thickBot="1" x14ac:dyDescent="0.35">
      <c r="A13" s="110" t="s">
        <v>141</v>
      </c>
      <c r="B13" s="110" t="s">
        <v>143</v>
      </c>
      <c r="C13" s="110" t="s">
        <v>135</v>
      </c>
      <c r="D13" s="110">
        <v>12412000</v>
      </c>
      <c r="E13" s="110">
        <v>11212000</v>
      </c>
      <c r="F13" s="110"/>
    </row>
    <row r="14" spans="1:7" ht="15" thickBot="1" x14ac:dyDescent="0.35">
      <c r="A14" s="123"/>
      <c r="B14" s="286"/>
      <c r="C14" s="123"/>
      <c r="D14" s="291"/>
      <c r="E14" s="286"/>
      <c r="F14" s="286"/>
    </row>
    <row r="15" spans="1:7" ht="34.950000000000003" customHeight="1" thickBot="1" x14ac:dyDescent="0.35">
      <c r="A15" s="110" t="s">
        <v>142</v>
      </c>
      <c r="B15" s="110" t="s">
        <v>144</v>
      </c>
      <c r="C15" s="110" t="s">
        <v>135</v>
      </c>
      <c r="D15" s="110">
        <v>4000000</v>
      </c>
      <c r="E15" s="110"/>
      <c r="F15" s="110"/>
    </row>
    <row r="16" spans="1:7" hidden="1" x14ac:dyDescent="0.3">
      <c r="A16" s="49"/>
      <c r="B16" s="49"/>
      <c r="C16" s="49" t="s">
        <v>77</v>
      </c>
      <c r="D16" s="292"/>
      <c r="E16" s="49"/>
      <c r="F16" s="49"/>
    </row>
    <row r="17" spans="1:38" hidden="1" x14ac:dyDescent="0.3">
      <c r="A17" s="53"/>
      <c r="B17" s="53"/>
      <c r="C17" s="53" t="s">
        <v>78</v>
      </c>
      <c r="D17" s="293"/>
      <c r="E17" s="53"/>
      <c r="F17" s="53"/>
    </row>
    <row r="18" spans="1:38" hidden="1" x14ac:dyDescent="0.3">
      <c r="A18" s="53"/>
      <c r="B18" s="53"/>
      <c r="C18" s="53" t="s">
        <v>79</v>
      </c>
      <c r="D18" s="293"/>
      <c r="E18" s="53"/>
      <c r="F18" s="53"/>
    </row>
    <row r="19" spans="1:38" hidden="1" x14ac:dyDescent="0.3">
      <c r="A19" s="53"/>
      <c r="B19" s="53"/>
      <c r="C19" s="53" t="s">
        <v>80</v>
      </c>
      <c r="D19" s="293"/>
      <c r="E19" s="53"/>
      <c r="F19" s="53"/>
    </row>
    <row r="20" spans="1:38" hidden="1" x14ac:dyDescent="0.3">
      <c r="A20" s="215"/>
      <c r="B20" s="215"/>
      <c r="C20" s="215" t="s">
        <v>15</v>
      </c>
      <c r="D20" s="294"/>
      <c r="E20" s="215"/>
      <c r="F20" s="215"/>
    </row>
    <row r="21" spans="1:38" hidden="1" x14ac:dyDescent="0.3">
      <c r="A21" s="215"/>
      <c r="B21" s="215"/>
      <c r="C21" s="215" t="s">
        <v>81</v>
      </c>
      <c r="D21" s="294"/>
      <c r="E21" s="215"/>
      <c r="F21" s="215"/>
    </row>
    <row r="22" spans="1:38" hidden="1" x14ac:dyDescent="0.3"/>
    <row r="23" spans="1:38" s="2" customFormat="1" hidden="1" x14ac:dyDescent="0.3">
      <c r="A23" s="210" t="s">
        <v>82</v>
      </c>
      <c r="B23" s="210"/>
      <c r="C23" s="210"/>
      <c r="D23" s="290"/>
      <c r="E23" s="210"/>
      <c r="F23" s="210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</row>
    <row r="24" spans="1:38" s="2" customFormat="1" hidden="1" x14ac:dyDescent="0.3">
      <c r="A24" s="210" t="s">
        <v>83</v>
      </c>
      <c r="B24" s="210"/>
      <c r="C24" s="210"/>
      <c r="D24" s="290"/>
      <c r="E24" s="210"/>
      <c r="F24" s="210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</row>
    <row r="25" spans="1:38" s="2" customFormat="1" hidden="1" x14ac:dyDescent="0.3">
      <c r="A25" s="210"/>
      <c r="B25" s="210"/>
      <c r="C25" s="210"/>
      <c r="D25" s="290"/>
      <c r="E25" s="210"/>
      <c r="F25" s="210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</row>
    <row r="26" spans="1:38" s="2" customFormat="1" hidden="1" x14ac:dyDescent="0.3">
      <c r="A26" s="210" t="s">
        <v>84</v>
      </c>
      <c r="B26" s="210"/>
      <c r="C26" s="210"/>
      <c r="D26" s="290"/>
      <c r="E26" s="210"/>
      <c r="F26" s="210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</row>
    <row r="27" spans="1:38" hidden="1" x14ac:dyDescent="0.3"/>
    <row r="28" spans="1:38" hidden="1" x14ac:dyDescent="0.3"/>
    <row r="29" spans="1:38" ht="15" thickBot="1" x14ac:dyDescent="0.35"/>
    <row r="30" spans="1:38" ht="15" thickBot="1" x14ac:dyDescent="0.35">
      <c r="A30" s="110" t="s">
        <v>119</v>
      </c>
      <c r="B30" s="110" t="s">
        <v>185</v>
      </c>
      <c r="C30" s="110" t="s">
        <v>1</v>
      </c>
      <c r="D30" s="110" t="s">
        <v>154</v>
      </c>
      <c r="E30" s="110" t="s">
        <v>155</v>
      </c>
      <c r="F30" s="110" t="s">
        <v>156</v>
      </c>
    </row>
    <row r="31" spans="1:38" s="193" customFormat="1" ht="30.45" customHeight="1" thickBot="1" x14ac:dyDescent="0.35">
      <c r="A31" s="389" t="s">
        <v>127</v>
      </c>
      <c r="B31" s="389" t="s">
        <v>64</v>
      </c>
      <c r="C31" s="390" t="s">
        <v>175</v>
      </c>
      <c r="D31" s="391">
        <f>46701461.91-15000000</f>
        <v>31701461.909999996</v>
      </c>
      <c r="E31" s="391">
        <v>25000000</v>
      </c>
      <c r="F31" s="389"/>
      <c r="G31" s="95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</row>
    <row r="32" spans="1:38" s="58" customFormat="1" ht="29.4" thickBot="1" x14ac:dyDescent="0.35">
      <c r="A32" s="392" t="s">
        <v>129</v>
      </c>
      <c r="B32" s="392" t="s">
        <v>64</v>
      </c>
      <c r="C32" s="393" t="s">
        <v>175</v>
      </c>
      <c r="D32" s="391">
        <f>42533884.09-15000000</f>
        <v>27533884.090000004</v>
      </c>
      <c r="E32" s="391">
        <v>28858981.359999999</v>
      </c>
      <c r="F32" s="392"/>
      <c r="G32" s="95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s="58" customFormat="1" ht="29.4" thickBot="1" x14ac:dyDescent="0.35">
      <c r="A33" s="392" t="s">
        <v>128</v>
      </c>
      <c r="B33" s="392" t="s">
        <v>64</v>
      </c>
      <c r="C33" s="393" t="s">
        <v>175</v>
      </c>
      <c r="D33" s="391">
        <f>41392865.45-10000000</f>
        <v>31392865.450000003</v>
      </c>
      <c r="E33" s="391">
        <v>19141018.640000001</v>
      </c>
      <c r="F33" s="392"/>
      <c r="G33" s="9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 s="58" customFormat="1" ht="29.4" thickBot="1" x14ac:dyDescent="0.35">
      <c r="A34" s="392" t="s">
        <v>130</v>
      </c>
      <c r="B34" s="392" t="s">
        <v>64</v>
      </c>
      <c r="C34" s="393" t="s">
        <v>175</v>
      </c>
      <c r="D34" s="391">
        <f>32199562.58-15000000</f>
        <v>17199562.579999998</v>
      </c>
      <c r="E34" s="391">
        <v>20000000</v>
      </c>
      <c r="F34" s="392"/>
      <c r="G34" s="9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s="58" customFormat="1" ht="24" customHeight="1" thickBot="1" x14ac:dyDescent="0.35">
      <c r="A35" s="392" t="s">
        <v>131</v>
      </c>
      <c r="B35" s="392" t="s">
        <v>64</v>
      </c>
      <c r="C35" s="393" t="s">
        <v>175</v>
      </c>
      <c r="D35" s="391">
        <f>39931312-9459086.03</f>
        <v>30472225.969999999</v>
      </c>
      <c r="E35" s="391">
        <v>19459086.030000001</v>
      </c>
      <c r="F35" s="392"/>
      <c r="G35" s="9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s="326" customFormat="1" ht="46.95" customHeight="1" thickBot="1" x14ac:dyDescent="0.35">
      <c r="A36" s="389" t="s">
        <v>188</v>
      </c>
      <c r="B36" s="389" t="s">
        <v>64</v>
      </c>
      <c r="C36" s="390" t="s">
        <v>189</v>
      </c>
      <c r="D36" s="391">
        <f>49000000-10000000</f>
        <v>39000000</v>
      </c>
      <c r="E36" s="391">
        <f>15000000+5151914</f>
        <v>20151914</v>
      </c>
      <c r="F36" s="389"/>
      <c r="G36" s="95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</row>
    <row r="37" spans="1:38" s="326" customFormat="1" ht="33.450000000000003" customHeight="1" thickBot="1" x14ac:dyDescent="0.35">
      <c r="A37" s="389" t="s">
        <v>197</v>
      </c>
      <c r="B37" s="389" t="s">
        <v>64</v>
      </c>
      <c r="C37" s="390" t="s">
        <v>189</v>
      </c>
      <c r="D37" s="391">
        <v>20000000</v>
      </c>
      <c r="E37" s="391">
        <v>0</v>
      </c>
      <c r="F37" s="389"/>
      <c r="G37" s="95"/>
      <c r="H37" s="366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2"/>
      <c r="AK37" s="192"/>
      <c r="AL37" s="192"/>
    </row>
    <row r="38" spans="1:38" s="193" customFormat="1" ht="19.5" customHeight="1" thickBot="1" x14ac:dyDescent="0.35">
      <c r="A38" s="457" t="s">
        <v>132</v>
      </c>
      <c r="B38" s="458"/>
      <c r="C38" s="459"/>
      <c r="D38" s="313">
        <f>SUM(D31:D35)</f>
        <v>138300000</v>
      </c>
      <c r="E38" s="313">
        <f>SUM(E31:E37)</f>
        <v>132611000.03</v>
      </c>
      <c r="F38" s="296"/>
      <c r="G38" s="363"/>
      <c r="H38" s="36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</row>
    <row r="39" spans="1:38" s="193" customFormat="1" ht="19.5" customHeight="1" thickBot="1" x14ac:dyDescent="0.35">
      <c r="A39" s="362" t="s">
        <v>240</v>
      </c>
      <c r="B39" s="296"/>
      <c r="C39" s="362"/>
      <c r="D39" s="313">
        <f>D38+D15+D13+D10</f>
        <v>204872950</v>
      </c>
      <c r="E39" s="313">
        <f>E38+E15+E13+E10</f>
        <v>198184850.03</v>
      </c>
      <c r="F39" s="296"/>
      <c r="G39" s="363"/>
      <c r="H39" s="36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</row>
    <row r="40" spans="1:38" ht="25.5" customHeight="1" thickBot="1" x14ac:dyDescent="0.35">
      <c r="C40" s="360"/>
      <c r="D40" s="361"/>
      <c r="F40" s="360"/>
      <c r="G40" s="87"/>
      <c r="H40" s="87"/>
    </row>
    <row r="41" spans="1:38" s="349" customFormat="1" ht="31.5" customHeight="1" thickBot="1" x14ac:dyDescent="0.35">
      <c r="A41" s="334" t="s">
        <v>236</v>
      </c>
      <c r="B41" s="334" t="s">
        <v>139</v>
      </c>
      <c r="C41" s="387" t="s">
        <v>189</v>
      </c>
      <c r="D41" s="388">
        <v>1200000</v>
      </c>
      <c r="E41" s="334"/>
      <c r="F41" s="334"/>
      <c r="G41" s="365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</row>
    <row r="42" spans="1:38" s="349" customFormat="1" ht="37.950000000000003" customHeight="1" thickBot="1" x14ac:dyDescent="0.35">
      <c r="A42" s="334" t="s">
        <v>235</v>
      </c>
      <c r="B42" s="334" t="s">
        <v>139</v>
      </c>
      <c r="C42" s="387" t="s">
        <v>189</v>
      </c>
      <c r="D42" s="388">
        <v>500000</v>
      </c>
      <c r="E42" s="334"/>
      <c r="F42" s="334"/>
      <c r="G42" s="365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192"/>
    </row>
    <row r="43" spans="1:38" s="349" customFormat="1" ht="67.05" customHeight="1" thickBot="1" x14ac:dyDescent="0.35">
      <c r="A43" s="400" t="s">
        <v>195</v>
      </c>
      <c r="B43" s="400" t="s">
        <v>139</v>
      </c>
      <c r="C43" s="401" t="s">
        <v>193</v>
      </c>
      <c r="D43" s="402">
        <v>1200000</v>
      </c>
      <c r="E43" s="400"/>
      <c r="F43" s="400"/>
      <c r="G43" s="366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2"/>
      <c r="AK43" s="192"/>
      <c r="AL43" s="192"/>
    </row>
    <row r="44" spans="1:38" s="326" customFormat="1" ht="15" thickBot="1" x14ac:dyDescent="0.35">
      <c r="A44" s="333" t="s">
        <v>210</v>
      </c>
      <c r="B44" s="334" t="s">
        <v>139</v>
      </c>
      <c r="C44" s="337" t="s">
        <v>194</v>
      </c>
      <c r="D44" s="335">
        <v>106661.99</v>
      </c>
      <c r="E44" s="328"/>
      <c r="F44" s="328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</row>
    <row r="45" spans="1:38" s="326" customFormat="1" ht="15" thickBot="1" x14ac:dyDescent="0.35">
      <c r="A45" s="333" t="s">
        <v>211</v>
      </c>
      <c r="B45" s="334" t="s">
        <v>139</v>
      </c>
      <c r="C45" s="337" t="s">
        <v>194</v>
      </c>
      <c r="D45" s="335">
        <v>561200</v>
      </c>
      <c r="E45" s="328"/>
      <c r="F45" s="328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</row>
    <row r="46" spans="1:38" s="326" customFormat="1" ht="15" thickBot="1" x14ac:dyDescent="0.35">
      <c r="A46" s="333" t="s">
        <v>212</v>
      </c>
      <c r="B46" s="334" t="s">
        <v>139</v>
      </c>
      <c r="C46" s="337" t="s">
        <v>194</v>
      </c>
      <c r="D46" s="335">
        <v>165600</v>
      </c>
      <c r="E46" s="328"/>
      <c r="F46" s="328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2"/>
      <c r="AK46" s="192"/>
      <c r="AL46" s="192"/>
    </row>
    <row r="47" spans="1:38" s="326" customFormat="1" ht="15" thickBot="1" x14ac:dyDescent="0.35">
      <c r="A47" s="333" t="s">
        <v>213</v>
      </c>
      <c r="B47" s="334" t="s">
        <v>139</v>
      </c>
      <c r="C47" s="337" t="s">
        <v>194</v>
      </c>
      <c r="D47" s="335">
        <v>252885</v>
      </c>
      <c r="E47" s="328"/>
      <c r="F47" s="328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92"/>
      <c r="AK47" s="192"/>
      <c r="AL47" s="192"/>
    </row>
    <row r="48" spans="1:38" s="326" customFormat="1" ht="21" customHeight="1" thickBot="1" x14ac:dyDescent="0.35">
      <c r="A48" s="328" t="s">
        <v>200</v>
      </c>
      <c r="B48" s="328" t="s">
        <v>139</v>
      </c>
      <c r="C48" s="338" t="s">
        <v>199</v>
      </c>
      <c r="D48" s="336">
        <v>1500000</v>
      </c>
      <c r="E48" s="328"/>
      <c r="F48" s="328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192"/>
      <c r="AI48" s="192"/>
      <c r="AJ48" s="192"/>
      <c r="AK48" s="192"/>
      <c r="AL48" s="192"/>
    </row>
    <row r="49" spans="1:38" ht="34.049999999999997" customHeight="1" x14ac:dyDescent="0.3">
      <c r="A49" s="123" t="s">
        <v>191</v>
      </c>
      <c r="B49" s="123" t="s">
        <v>139</v>
      </c>
      <c r="C49" s="113" t="s">
        <v>192</v>
      </c>
      <c r="D49" s="26">
        <v>1500000</v>
      </c>
      <c r="E49" s="123"/>
      <c r="F49" s="123"/>
    </row>
    <row r="50" spans="1:38" x14ac:dyDescent="0.3">
      <c r="A50" s="123" t="s">
        <v>201</v>
      </c>
      <c r="B50" s="123" t="s">
        <v>139</v>
      </c>
      <c r="C50" s="114" t="s">
        <v>192</v>
      </c>
      <c r="D50" s="26">
        <v>800000</v>
      </c>
      <c r="E50" s="123"/>
      <c r="F50" s="123"/>
    </row>
    <row r="51" spans="1:38" s="308" customFormat="1" ht="28.8" x14ac:dyDescent="0.3">
      <c r="A51" s="331" t="s">
        <v>218</v>
      </c>
      <c r="B51" s="331" t="s">
        <v>139</v>
      </c>
      <c r="C51" s="237" t="s">
        <v>175</v>
      </c>
      <c r="D51" s="332">
        <v>2500000</v>
      </c>
      <c r="E51" s="331"/>
      <c r="F51" s="331"/>
      <c r="G51" s="310"/>
      <c r="H51" s="310"/>
      <c r="I51" s="310"/>
      <c r="J51" s="310"/>
      <c r="K51" s="310"/>
      <c r="L51" s="310"/>
      <c r="M51" s="310"/>
      <c r="N51" s="310"/>
      <c r="O51" s="310"/>
      <c r="P51" s="310"/>
      <c r="Q51" s="310"/>
      <c r="R51" s="310"/>
      <c r="S51" s="310"/>
      <c r="T51" s="310"/>
      <c r="U51" s="310"/>
      <c r="V51" s="310"/>
      <c r="W51" s="310"/>
      <c r="X51" s="310"/>
      <c r="Y51" s="310"/>
      <c r="Z51" s="310"/>
      <c r="AA51" s="310"/>
      <c r="AB51" s="310"/>
      <c r="AC51" s="310"/>
      <c r="AD51" s="310"/>
      <c r="AE51" s="310"/>
      <c r="AF51" s="310"/>
      <c r="AG51" s="310"/>
      <c r="AH51" s="310"/>
      <c r="AI51" s="310"/>
      <c r="AJ51" s="310"/>
      <c r="AK51" s="310"/>
      <c r="AL51" s="310"/>
    </row>
    <row r="52" spans="1:38" s="308" customFormat="1" ht="28.8" x14ac:dyDescent="0.3">
      <c r="A52" s="331" t="s">
        <v>219</v>
      </c>
      <c r="B52" s="331" t="s">
        <v>139</v>
      </c>
      <c r="C52" s="237" t="s">
        <v>175</v>
      </c>
      <c r="D52" s="332">
        <v>1000000</v>
      </c>
      <c r="E52" s="331"/>
      <c r="F52" s="331"/>
      <c r="G52" s="310"/>
      <c r="H52" s="310"/>
      <c r="I52" s="310"/>
      <c r="J52" s="310"/>
      <c r="K52" s="310"/>
      <c r="L52" s="310"/>
      <c r="M52" s="310"/>
      <c r="N52" s="310"/>
      <c r="O52" s="310"/>
      <c r="P52" s="310"/>
      <c r="Q52" s="310"/>
      <c r="R52" s="310"/>
      <c r="S52" s="310"/>
      <c r="T52" s="310"/>
      <c r="U52" s="310"/>
      <c r="V52" s="310"/>
      <c r="W52" s="310"/>
      <c r="X52" s="310"/>
      <c r="Y52" s="310"/>
      <c r="Z52" s="310"/>
      <c r="AA52" s="310"/>
      <c r="AB52" s="310"/>
      <c r="AC52" s="310"/>
      <c r="AD52" s="310"/>
      <c r="AE52" s="310"/>
      <c r="AF52" s="310"/>
      <c r="AG52" s="310"/>
      <c r="AH52" s="310"/>
      <c r="AI52" s="310"/>
      <c r="AJ52" s="310"/>
      <c r="AK52" s="310"/>
      <c r="AL52" s="310"/>
    </row>
    <row r="53" spans="1:38" s="308" customFormat="1" ht="28.8" x14ac:dyDescent="0.3">
      <c r="A53" s="331" t="s">
        <v>220</v>
      </c>
      <c r="B53" s="331" t="s">
        <v>139</v>
      </c>
      <c r="C53" s="237" t="s">
        <v>175</v>
      </c>
      <c r="D53" s="332">
        <v>500000</v>
      </c>
      <c r="E53" s="331"/>
      <c r="F53" s="331"/>
      <c r="G53" s="310"/>
      <c r="H53" s="310"/>
      <c r="I53" s="310"/>
      <c r="J53" s="310"/>
      <c r="K53" s="310"/>
      <c r="L53" s="310"/>
      <c r="M53" s="310"/>
      <c r="N53" s="310"/>
      <c r="O53" s="310"/>
      <c r="P53" s="310"/>
      <c r="Q53" s="310"/>
      <c r="R53" s="310"/>
      <c r="S53" s="310"/>
      <c r="T53" s="310"/>
      <c r="U53" s="310"/>
      <c r="V53" s="310"/>
      <c r="W53" s="310"/>
      <c r="X53" s="310"/>
      <c r="Y53" s="310"/>
      <c r="Z53" s="310"/>
      <c r="AA53" s="310"/>
      <c r="AB53" s="310"/>
      <c r="AC53" s="310"/>
      <c r="AD53" s="310"/>
      <c r="AE53" s="310"/>
      <c r="AF53" s="310"/>
      <c r="AG53" s="310"/>
      <c r="AH53" s="310"/>
      <c r="AI53" s="310"/>
      <c r="AJ53" s="310"/>
      <c r="AK53" s="310"/>
      <c r="AL53" s="310"/>
    </row>
    <row r="54" spans="1:38" ht="28.8" x14ac:dyDescent="0.3">
      <c r="A54" s="329" t="s">
        <v>179</v>
      </c>
      <c r="B54" s="123" t="s">
        <v>139</v>
      </c>
      <c r="C54" s="114" t="s">
        <v>180</v>
      </c>
      <c r="D54" s="291">
        <v>5000000</v>
      </c>
      <c r="E54" s="286">
        <v>5000000</v>
      </c>
      <c r="F54" s="123"/>
    </row>
    <row r="55" spans="1:38" ht="28.05" customHeight="1" x14ac:dyDescent="0.3">
      <c r="A55" s="123" t="s">
        <v>161</v>
      </c>
      <c r="B55" s="123" t="s">
        <v>139</v>
      </c>
      <c r="C55" s="114" t="s">
        <v>135</v>
      </c>
      <c r="D55" s="291">
        <v>500000</v>
      </c>
      <c r="E55" s="123"/>
      <c r="F55" s="123"/>
    </row>
    <row r="56" spans="1:38" ht="21" customHeight="1" x14ac:dyDescent="0.3">
      <c r="A56" s="123" t="s">
        <v>138</v>
      </c>
      <c r="B56" s="286" t="s">
        <v>139</v>
      </c>
      <c r="C56" s="123" t="s">
        <v>135</v>
      </c>
      <c r="E56" s="291">
        <v>1800000</v>
      </c>
      <c r="F56" s="286"/>
    </row>
    <row r="57" spans="1:38" s="308" customFormat="1" ht="28.8" x14ac:dyDescent="0.3">
      <c r="A57" s="331" t="s">
        <v>217</v>
      </c>
      <c r="B57" s="370" t="s">
        <v>139</v>
      </c>
      <c r="C57" s="331" t="s">
        <v>135</v>
      </c>
      <c r="D57" s="332">
        <v>1000000</v>
      </c>
      <c r="E57" s="370"/>
      <c r="F57" s="370"/>
      <c r="G57" s="310"/>
      <c r="H57" s="310"/>
      <c r="I57" s="310"/>
      <c r="J57" s="310"/>
      <c r="K57" s="310"/>
      <c r="L57" s="310"/>
      <c r="M57" s="310"/>
      <c r="N57" s="310"/>
      <c r="O57" s="310"/>
      <c r="P57" s="310"/>
      <c r="Q57" s="310"/>
      <c r="R57" s="310"/>
      <c r="S57" s="310"/>
      <c r="T57" s="310"/>
      <c r="U57" s="310"/>
      <c r="V57" s="310"/>
      <c r="W57" s="310"/>
      <c r="X57" s="310"/>
      <c r="Y57" s="310"/>
      <c r="Z57" s="310"/>
      <c r="AA57" s="310"/>
      <c r="AB57" s="310"/>
      <c r="AC57" s="310"/>
      <c r="AD57" s="310"/>
      <c r="AE57" s="310"/>
      <c r="AF57" s="310"/>
      <c r="AG57" s="310"/>
      <c r="AH57" s="310"/>
      <c r="AI57" s="310"/>
      <c r="AJ57" s="310"/>
      <c r="AK57" s="310"/>
      <c r="AL57" s="310"/>
    </row>
    <row r="58" spans="1:38" ht="26.55" customHeight="1" x14ac:dyDescent="0.3">
      <c r="A58" s="123" t="s">
        <v>137</v>
      </c>
      <c r="B58" s="286" t="s">
        <v>140</v>
      </c>
      <c r="C58" s="123" t="s">
        <v>135</v>
      </c>
      <c r="D58" s="291">
        <v>1200000</v>
      </c>
      <c r="E58" s="286"/>
      <c r="F58" s="286"/>
    </row>
    <row r="59" spans="1:38" ht="27.45" customHeight="1" x14ac:dyDescent="0.3">
      <c r="A59" s="123" t="s">
        <v>123</v>
      </c>
      <c r="B59" s="286" t="s">
        <v>140</v>
      </c>
      <c r="C59" s="123" t="s">
        <v>184</v>
      </c>
      <c r="D59" s="291">
        <v>100000</v>
      </c>
      <c r="E59" s="286"/>
      <c r="F59" s="286"/>
    </row>
    <row r="60" spans="1:38" ht="27" customHeight="1" x14ac:dyDescent="0.3">
      <c r="A60" s="123" t="s">
        <v>124</v>
      </c>
      <c r="B60" s="286" t="s">
        <v>140</v>
      </c>
      <c r="C60" s="123" t="s">
        <v>184</v>
      </c>
      <c r="D60" s="291">
        <v>200000</v>
      </c>
      <c r="E60" s="286"/>
      <c r="F60" s="286"/>
    </row>
    <row r="61" spans="1:38" s="308" customFormat="1" ht="28.95" customHeight="1" x14ac:dyDescent="0.3">
      <c r="A61" s="331" t="s">
        <v>125</v>
      </c>
      <c r="B61" s="370" t="s">
        <v>140</v>
      </c>
      <c r="C61" s="331" t="s">
        <v>184</v>
      </c>
      <c r="D61" s="332">
        <v>1500000</v>
      </c>
      <c r="E61" s="370"/>
      <c r="F61" s="370"/>
      <c r="G61" s="310"/>
      <c r="H61" s="310"/>
      <c r="I61" s="310"/>
      <c r="J61" s="310"/>
      <c r="K61" s="310"/>
      <c r="L61" s="310"/>
      <c r="M61" s="310"/>
      <c r="N61" s="310"/>
      <c r="O61" s="310"/>
      <c r="P61" s="310"/>
      <c r="Q61" s="310"/>
      <c r="R61" s="310"/>
      <c r="S61" s="310"/>
      <c r="T61" s="310"/>
      <c r="U61" s="310"/>
      <c r="V61" s="310"/>
      <c r="W61" s="310"/>
      <c r="X61" s="310"/>
      <c r="Y61" s="310"/>
      <c r="Z61" s="310"/>
      <c r="AA61" s="310"/>
      <c r="AB61" s="310"/>
      <c r="AC61" s="310"/>
      <c r="AD61" s="310"/>
      <c r="AE61" s="310"/>
      <c r="AF61" s="310"/>
      <c r="AG61" s="310"/>
      <c r="AH61" s="310"/>
      <c r="AI61" s="310"/>
      <c r="AJ61" s="310"/>
      <c r="AK61" s="310"/>
      <c r="AL61" s="310"/>
    </row>
    <row r="62" spans="1:38" ht="32.549999999999997" customHeight="1" x14ac:dyDescent="0.3">
      <c r="A62" s="123" t="s">
        <v>126</v>
      </c>
      <c r="B62" s="286" t="s">
        <v>140</v>
      </c>
      <c r="C62" s="123" t="s">
        <v>184</v>
      </c>
      <c r="D62" s="291">
        <v>500000</v>
      </c>
      <c r="E62" s="286"/>
      <c r="F62" s="286"/>
    </row>
    <row r="63" spans="1:38" x14ac:dyDescent="0.3">
      <c r="A63" s="123" t="s">
        <v>150</v>
      </c>
      <c r="B63" s="286" t="s">
        <v>140</v>
      </c>
      <c r="C63" s="123" t="s">
        <v>153</v>
      </c>
      <c r="D63" s="291">
        <v>1500000</v>
      </c>
      <c r="E63" s="286"/>
      <c r="F63" s="286"/>
    </row>
    <row r="64" spans="1:38" ht="34.5" customHeight="1" x14ac:dyDescent="0.3">
      <c r="A64" s="123" t="s">
        <v>151</v>
      </c>
      <c r="B64" s="286" t="s">
        <v>140</v>
      </c>
      <c r="C64" s="123" t="s">
        <v>153</v>
      </c>
      <c r="D64" s="291">
        <v>110000</v>
      </c>
      <c r="E64" s="286"/>
      <c r="F64" s="286"/>
    </row>
    <row r="65" spans="1:6" ht="19.95" customHeight="1" x14ac:dyDescent="0.3">
      <c r="A65" s="123" t="s">
        <v>152</v>
      </c>
      <c r="B65" s="286" t="s">
        <v>140</v>
      </c>
      <c r="C65" s="123" t="s">
        <v>153</v>
      </c>
      <c r="D65" s="291">
        <v>220000</v>
      </c>
      <c r="E65" s="286"/>
      <c r="F65" s="286"/>
    </row>
    <row r="66" spans="1:6" x14ac:dyDescent="0.3">
      <c r="A66" s="123" t="s">
        <v>146</v>
      </c>
      <c r="B66" s="286" t="s">
        <v>140</v>
      </c>
      <c r="C66" s="123" t="s">
        <v>148</v>
      </c>
      <c r="D66" s="291">
        <v>3500000</v>
      </c>
      <c r="E66" s="286">
        <v>3500000</v>
      </c>
      <c r="F66" s="286"/>
    </row>
    <row r="67" spans="1:6" x14ac:dyDescent="0.3">
      <c r="A67" s="123" t="s">
        <v>149</v>
      </c>
      <c r="B67" s="286" t="s">
        <v>140</v>
      </c>
      <c r="C67" s="123" t="s">
        <v>148</v>
      </c>
      <c r="D67" s="291">
        <v>500000</v>
      </c>
      <c r="E67" s="286">
        <v>500000</v>
      </c>
      <c r="F67" s="286">
        <v>500000</v>
      </c>
    </row>
    <row r="68" spans="1:6" x14ac:dyDescent="0.3">
      <c r="A68" s="123" t="s">
        <v>147</v>
      </c>
      <c r="B68" s="286" t="s">
        <v>140</v>
      </c>
      <c r="C68" s="123" t="s">
        <v>148</v>
      </c>
      <c r="D68" s="291">
        <v>300000</v>
      </c>
      <c r="E68" s="286">
        <v>300000</v>
      </c>
      <c r="F68" s="286">
        <v>300000</v>
      </c>
    </row>
    <row r="69" spans="1:6" s="5" customFormat="1" ht="43.05" customHeight="1" x14ac:dyDescent="0.3">
      <c r="A69" s="379" t="s">
        <v>157</v>
      </c>
      <c r="B69" s="380" t="s">
        <v>140</v>
      </c>
      <c r="C69" s="381" t="s">
        <v>158</v>
      </c>
      <c r="D69" s="380">
        <v>1000000</v>
      </c>
      <c r="E69" s="382"/>
      <c r="F69" s="382"/>
    </row>
    <row r="70" spans="1:6" s="5" customFormat="1" ht="22.05" customHeight="1" x14ac:dyDescent="0.3">
      <c r="A70" s="383" t="s">
        <v>159</v>
      </c>
      <c r="B70" s="382" t="s">
        <v>140</v>
      </c>
      <c r="C70" s="384" t="s">
        <v>158</v>
      </c>
      <c r="D70" s="380">
        <v>500000</v>
      </c>
      <c r="E70" s="382"/>
      <c r="F70" s="382"/>
    </row>
    <row r="71" spans="1:6" s="5" customFormat="1" ht="28.8" x14ac:dyDescent="0.3">
      <c r="A71" s="383" t="s">
        <v>202</v>
      </c>
      <c r="B71" s="382" t="s">
        <v>140</v>
      </c>
      <c r="C71" s="384" t="s">
        <v>158</v>
      </c>
      <c r="D71" s="380">
        <v>1000000</v>
      </c>
      <c r="E71" s="382"/>
      <c r="F71" s="382"/>
    </row>
    <row r="72" spans="1:6" s="5" customFormat="1" ht="25.05" hidden="1" customHeight="1" x14ac:dyDescent="0.3">
      <c r="A72" s="385" t="s">
        <v>160</v>
      </c>
      <c r="B72" s="382" t="s">
        <v>140</v>
      </c>
      <c r="C72" s="384" t="s">
        <v>158</v>
      </c>
      <c r="D72" s="386"/>
      <c r="E72" s="119"/>
      <c r="F72" s="119"/>
    </row>
    <row r="73" spans="1:6" s="5" customFormat="1" ht="19.95" customHeight="1" x14ac:dyDescent="0.3">
      <c r="A73" s="383" t="s">
        <v>117</v>
      </c>
      <c r="B73" s="382" t="s">
        <v>140</v>
      </c>
      <c r="C73" s="384" t="s">
        <v>116</v>
      </c>
      <c r="D73" s="380">
        <v>50000</v>
      </c>
      <c r="E73" s="382"/>
      <c r="F73" s="382"/>
    </row>
    <row r="74" spans="1:6" s="5" customFormat="1" ht="19.95" customHeight="1" x14ac:dyDescent="0.3">
      <c r="A74" s="295" t="s">
        <v>118</v>
      </c>
      <c r="B74" s="286" t="s">
        <v>140</v>
      </c>
      <c r="C74" s="123" t="s">
        <v>116</v>
      </c>
      <c r="D74" s="291">
        <v>50000</v>
      </c>
      <c r="E74" s="286"/>
      <c r="F74" s="286"/>
    </row>
    <row r="75" spans="1:6" s="5" customFormat="1" ht="26.55" customHeight="1" x14ac:dyDescent="0.3">
      <c r="A75" s="295" t="s">
        <v>215</v>
      </c>
      <c r="B75" s="286" t="s">
        <v>140</v>
      </c>
      <c r="C75" s="123" t="s">
        <v>216</v>
      </c>
      <c r="D75" s="291">
        <f>140000*4</f>
        <v>560000</v>
      </c>
      <c r="E75" s="286"/>
      <c r="F75" s="286"/>
    </row>
    <row r="76" spans="1:6" s="5" customFormat="1" ht="19.5" customHeight="1" thickBot="1" x14ac:dyDescent="0.35">
      <c r="A76" s="126"/>
      <c r="B76" s="287"/>
      <c r="C76" s="126"/>
      <c r="D76" s="330">
        <f>SUM(D41:D75)</f>
        <v>31076346.990000002</v>
      </c>
      <c r="E76" s="330">
        <f t="shared" ref="E76" si="0">SUM(E41:E75)</f>
        <v>11100000</v>
      </c>
      <c r="F76" s="330">
        <f>SUM(F41:F75)</f>
        <v>800000</v>
      </c>
    </row>
    <row r="77" spans="1:6" s="5" customFormat="1" ht="19.95" customHeight="1" x14ac:dyDescent="0.3">
      <c r="A77" s="300"/>
      <c r="B77" s="302"/>
      <c r="C77" s="300"/>
      <c r="D77" s="301"/>
      <c r="E77" s="302"/>
      <c r="F77" s="302"/>
    </row>
    <row r="78" spans="1:6" s="5" customFormat="1" ht="19.5" customHeight="1" thickBot="1" x14ac:dyDescent="0.35">
      <c r="A78" s="126" t="s">
        <v>239</v>
      </c>
      <c r="B78" s="287"/>
      <c r="C78" s="126"/>
      <c r="D78" s="330">
        <f>D38+D15+D13+D10+D76</f>
        <v>235949296.99000001</v>
      </c>
      <c r="E78" s="330">
        <f>E38+E15+E13+E10</f>
        <v>198184850.03</v>
      </c>
      <c r="F78" s="330">
        <f>F76</f>
        <v>800000</v>
      </c>
    </row>
    <row r="79" spans="1:6" s="5" customFormat="1" ht="19.95" customHeight="1" thickBot="1" x14ac:dyDescent="0.35">
      <c r="A79" s="300"/>
      <c r="B79" s="302"/>
      <c r="C79" s="300"/>
      <c r="D79" s="301"/>
      <c r="E79" s="302"/>
      <c r="F79" s="302"/>
    </row>
    <row r="80" spans="1:6" s="5" customFormat="1" ht="22.5" customHeight="1" thickBot="1" x14ac:dyDescent="0.35">
      <c r="A80" s="110" t="s">
        <v>112</v>
      </c>
      <c r="B80" s="110" t="s">
        <v>185</v>
      </c>
      <c r="C80" s="110"/>
      <c r="D80" s="110" t="s">
        <v>154</v>
      </c>
      <c r="E80" s="110" t="s">
        <v>155</v>
      </c>
      <c r="F80" s="110" t="s">
        <v>156</v>
      </c>
    </row>
    <row r="81" spans="1:38" s="5" customFormat="1" ht="19.95" customHeight="1" thickBot="1" x14ac:dyDescent="0.35">
      <c r="A81" s="373" t="s">
        <v>63</v>
      </c>
      <c r="B81" s="374"/>
      <c r="C81" s="373"/>
      <c r="D81" s="375">
        <f>D10</f>
        <v>50160950</v>
      </c>
      <c r="E81" s="375">
        <f>E10</f>
        <v>54361850</v>
      </c>
      <c r="F81" s="375">
        <f>F10</f>
        <v>0</v>
      </c>
    </row>
    <row r="82" spans="1:38" s="5" customFormat="1" ht="15" thickBot="1" x14ac:dyDescent="0.35">
      <c r="A82" s="376" t="s">
        <v>143</v>
      </c>
      <c r="B82" s="377"/>
      <c r="C82" s="376"/>
      <c r="D82" s="378">
        <f>D13</f>
        <v>12412000</v>
      </c>
      <c r="E82" s="378">
        <f t="shared" ref="E82:F82" si="1">E13</f>
        <v>11212000</v>
      </c>
      <c r="F82" s="378">
        <f t="shared" si="1"/>
        <v>0</v>
      </c>
    </row>
    <row r="83" spans="1:38" s="5" customFormat="1" ht="15" thickBot="1" x14ac:dyDescent="0.35">
      <c r="A83" s="376" t="s">
        <v>238</v>
      </c>
      <c r="B83" s="377"/>
      <c r="C83" s="376"/>
      <c r="D83" s="378">
        <f>D15</f>
        <v>4000000</v>
      </c>
      <c r="E83" s="378">
        <f t="shared" ref="E83:F83" si="2">E15</f>
        <v>0</v>
      </c>
      <c r="F83" s="378">
        <f t="shared" si="2"/>
        <v>0</v>
      </c>
    </row>
    <row r="84" spans="1:38" s="5" customFormat="1" ht="15" thickBot="1" x14ac:dyDescent="0.35">
      <c r="A84" s="376" t="s">
        <v>64</v>
      </c>
      <c r="B84" s="377"/>
      <c r="C84" s="376"/>
      <c r="D84" s="378">
        <f>D38</f>
        <v>138300000</v>
      </c>
      <c r="E84" s="378">
        <f t="shared" ref="E84:F84" si="3">E38</f>
        <v>132611000.03</v>
      </c>
      <c r="F84" s="378">
        <f t="shared" si="3"/>
        <v>0</v>
      </c>
    </row>
    <row r="85" spans="1:38" s="5" customFormat="1" ht="15" thickBot="1" x14ac:dyDescent="0.35">
      <c r="A85" s="376" t="s">
        <v>237</v>
      </c>
      <c r="B85" s="377"/>
      <c r="C85" s="376"/>
      <c r="D85" s="378">
        <f>D76</f>
        <v>31076346.990000002</v>
      </c>
      <c r="E85" s="378">
        <f t="shared" ref="E85:F85" si="4">E76</f>
        <v>11100000</v>
      </c>
      <c r="F85" s="378">
        <f t="shared" si="4"/>
        <v>800000</v>
      </c>
    </row>
    <row r="86" spans="1:38" s="210" customFormat="1" ht="15" thickBot="1" x14ac:dyDescent="0.35">
      <c r="A86" s="126" t="s">
        <v>233</v>
      </c>
      <c r="B86" s="287"/>
      <c r="C86" s="126"/>
      <c r="D86" s="330">
        <f>SUM(D81:D85)</f>
        <v>235949296.99000001</v>
      </c>
      <c r="E86" s="330">
        <f t="shared" ref="E86:F86" si="5">SUM(E81:E85)</f>
        <v>209284850.03</v>
      </c>
      <c r="F86" s="330">
        <f t="shared" si="5"/>
        <v>800000</v>
      </c>
      <c r="G86" s="5"/>
      <c r="H86" s="5"/>
      <c r="I86" s="5"/>
      <c r="J86" s="220"/>
      <c r="K86" s="220"/>
      <c r="L86" s="220"/>
      <c r="M86" s="220"/>
      <c r="N86" s="220"/>
      <c r="O86" s="220"/>
      <c r="P86" s="220"/>
      <c r="Q86" s="220"/>
      <c r="R86" s="220"/>
      <c r="S86" s="220"/>
      <c r="T86" s="220"/>
      <c r="U86" s="220"/>
      <c r="V86" s="220"/>
      <c r="W86" s="220"/>
      <c r="X86" s="220"/>
      <c r="Y86" s="220"/>
      <c r="Z86" s="220"/>
      <c r="AA86" s="220"/>
      <c r="AB86" s="220"/>
      <c r="AC86" s="220"/>
      <c r="AD86" s="220"/>
      <c r="AE86" s="220"/>
      <c r="AF86" s="220"/>
      <c r="AG86" s="220"/>
      <c r="AH86" s="220"/>
      <c r="AI86" s="220"/>
      <c r="AJ86" s="220"/>
      <c r="AK86" s="220"/>
      <c r="AL86" s="220"/>
    </row>
    <row r="87" spans="1:38" s="210" customFormat="1" x14ac:dyDescent="0.3">
      <c r="G87" s="5"/>
      <c r="H87" s="5"/>
      <c r="I87" s="5"/>
      <c r="J87" s="220"/>
      <c r="K87" s="220"/>
      <c r="L87" s="220"/>
      <c r="M87" s="220"/>
      <c r="N87" s="220"/>
      <c r="O87" s="220"/>
      <c r="P87" s="220"/>
      <c r="Q87" s="220"/>
      <c r="R87" s="220"/>
      <c r="S87" s="220"/>
      <c r="T87" s="220"/>
      <c r="U87" s="220"/>
      <c r="V87" s="220"/>
      <c r="W87" s="220"/>
      <c r="X87" s="220"/>
      <c r="Y87" s="220"/>
      <c r="Z87" s="220"/>
      <c r="AA87" s="220"/>
      <c r="AB87" s="220"/>
      <c r="AC87" s="220"/>
      <c r="AD87" s="220"/>
      <c r="AE87" s="220"/>
      <c r="AF87" s="220"/>
      <c r="AG87" s="220"/>
      <c r="AH87" s="220"/>
      <c r="AI87" s="220"/>
      <c r="AJ87" s="220"/>
      <c r="AK87" s="220"/>
      <c r="AL87" s="220"/>
    </row>
    <row r="88" spans="1:38" s="210" customFormat="1" x14ac:dyDescent="0.3">
      <c r="G88" s="5"/>
      <c r="H88" s="5"/>
      <c r="I88" s="5"/>
      <c r="J88" s="220"/>
      <c r="K88" s="220"/>
      <c r="L88" s="220"/>
      <c r="M88" s="220"/>
      <c r="N88" s="220"/>
      <c r="O88" s="220"/>
      <c r="P88" s="220"/>
      <c r="Q88" s="220"/>
      <c r="R88" s="220"/>
      <c r="S88" s="220"/>
      <c r="T88" s="220"/>
      <c r="U88" s="220"/>
      <c r="V88" s="220"/>
      <c r="W88" s="220"/>
      <c r="X88" s="220"/>
      <c r="Y88" s="220"/>
      <c r="Z88" s="220"/>
      <c r="AA88" s="220"/>
      <c r="AB88" s="220"/>
      <c r="AC88" s="220"/>
      <c r="AD88" s="220"/>
      <c r="AE88" s="220"/>
      <c r="AF88" s="220"/>
      <c r="AG88" s="220"/>
      <c r="AH88" s="220"/>
      <c r="AI88" s="220"/>
      <c r="AJ88" s="220"/>
      <c r="AK88" s="220"/>
      <c r="AL88" s="220"/>
    </row>
    <row r="89" spans="1:38" s="210" customFormat="1" x14ac:dyDescent="0.3">
      <c r="G89" s="5"/>
      <c r="H89" s="5"/>
      <c r="I89" s="5"/>
      <c r="J89" s="220"/>
      <c r="K89" s="220"/>
      <c r="L89" s="220"/>
      <c r="M89" s="220"/>
      <c r="N89" s="220"/>
      <c r="O89" s="220"/>
      <c r="P89" s="220"/>
      <c r="Q89" s="220"/>
      <c r="R89" s="220"/>
      <c r="S89" s="220"/>
      <c r="T89" s="220"/>
      <c r="U89" s="220"/>
      <c r="V89" s="220"/>
      <c r="W89" s="220"/>
      <c r="X89" s="220"/>
      <c r="Y89" s="220"/>
      <c r="Z89" s="220"/>
      <c r="AA89" s="220"/>
      <c r="AB89" s="220"/>
      <c r="AC89" s="220"/>
      <c r="AD89" s="220"/>
      <c r="AE89" s="220"/>
      <c r="AF89" s="220"/>
      <c r="AG89" s="220"/>
      <c r="AH89" s="220"/>
      <c r="AI89" s="220"/>
      <c r="AJ89" s="220"/>
      <c r="AK89" s="220"/>
      <c r="AL89" s="220"/>
    </row>
    <row r="91" spans="1:38" s="210" customFormat="1" x14ac:dyDescent="0.3">
      <c r="D91" s="306"/>
      <c r="G91" s="5"/>
      <c r="H91" s="5"/>
      <c r="I91" s="5"/>
      <c r="J91" s="220"/>
      <c r="K91" s="220"/>
      <c r="L91" s="220"/>
      <c r="M91" s="220"/>
      <c r="N91" s="220"/>
      <c r="O91" s="220"/>
      <c r="P91" s="220"/>
      <c r="Q91" s="220"/>
      <c r="R91" s="220"/>
      <c r="S91" s="220"/>
      <c r="T91" s="220"/>
      <c r="U91" s="220"/>
      <c r="V91" s="220"/>
      <c r="W91" s="220"/>
      <c r="X91" s="220"/>
      <c r="Y91" s="220"/>
      <c r="Z91" s="220"/>
      <c r="AA91" s="220"/>
      <c r="AB91" s="220"/>
      <c r="AC91" s="220"/>
      <c r="AD91" s="220"/>
      <c r="AE91" s="220"/>
      <c r="AF91" s="220"/>
      <c r="AG91" s="220"/>
      <c r="AH91" s="220"/>
      <c r="AI91" s="220"/>
      <c r="AJ91" s="220"/>
      <c r="AK91" s="220"/>
      <c r="AL91" s="220"/>
    </row>
    <row r="92" spans="1:38" s="210" customFormat="1" x14ac:dyDescent="0.3">
      <c r="D92" s="288"/>
      <c r="G92" s="5"/>
      <c r="H92" s="5"/>
      <c r="I92" s="5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20"/>
      <c r="U92" s="220"/>
      <c r="V92" s="220"/>
      <c r="W92" s="220"/>
      <c r="X92" s="220"/>
      <c r="Y92" s="220"/>
      <c r="Z92" s="220"/>
      <c r="AA92" s="220"/>
      <c r="AB92" s="220"/>
      <c r="AC92" s="220"/>
      <c r="AD92" s="220"/>
      <c r="AE92" s="220"/>
      <c r="AF92" s="220"/>
      <c r="AG92" s="220"/>
      <c r="AH92" s="220"/>
      <c r="AI92" s="220"/>
      <c r="AJ92" s="220"/>
      <c r="AK92" s="220"/>
      <c r="AL92" s="220"/>
    </row>
  </sheetData>
  <mergeCells count="1">
    <mergeCell ref="A38:C38"/>
  </mergeCells>
  <pageMargins left="0.7" right="0.7" top="0.75" bottom="0.75" header="0.3" footer="0.3"/>
  <pageSetup orientation="portrait" horizontalDpi="0" verticalDpi="0" r:id="rId1"/>
  <rowBreaks count="1" manualBreakCount="1">
    <brk id="3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Roll Over Projects </vt:lpstr>
      <vt:lpstr>Capex report  (updated )1902</vt:lpstr>
      <vt:lpstr>DRAFT  2025-26</vt:lpstr>
      <vt:lpstr>DRAFT  2025-26 OPEX</vt:lpstr>
      <vt:lpstr>parks </vt:lpstr>
      <vt:lpstr>opex</vt:lpstr>
      <vt:lpstr>Grants</vt:lpstr>
      <vt:lpstr>DRAFT  2025-26 OPEX (2)</vt:lpstr>
      <vt:lpstr>DRAFTCAPEX   2025-26 V1</vt:lpstr>
      <vt:lpstr>DRAFTCAPEX   2025-26 V1 (2)</vt:lpstr>
      <vt:lpstr>SUMMARY GRANTS 2025-26 DORA </vt:lpstr>
      <vt:lpstr>DRAFTCAPEX   2025-26 DORA </vt:lpstr>
      <vt:lpstr>'DRAFTCAPEX   2025-26 DORA '!Print_Area</vt:lpstr>
      <vt:lpstr>'DRAFTCAPEX   2025-26 V1'!Print_Area</vt:lpstr>
      <vt:lpstr>'DRAFTCAPEX   2025-26 V1 (2)'!Print_Area</vt:lpstr>
      <vt:lpstr>'SUMMARY GRANTS 2025-26 DORA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Lesego Matlwa</dc:creator>
  <cp:lastModifiedBy>Morami Monyeki</cp:lastModifiedBy>
  <cp:lastPrinted>2025-03-13T16:41:31Z</cp:lastPrinted>
  <dcterms:created xsi:type="dcterms:W3CDTF">2025-02-20T10:38:30Z</dcterms:created>
  <dcterms:modified xsi:type="dcterms:W3CDTF">2025-04-03T08:52:56Z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dc1152-42be-423d-95e2-c7b94472e955_Enabled">
    <vt:lpwstr>true</vt:lpwstr>
  </property>
  <property fmtid="{D5CDD505-2E9C-101B-9397-08002B2CF9AE}" pid="3" name="MSIP_Label_aadc1152-42be-423d-95e2-c7b94472e955_SetDate">
    <vt:lpwstr>2025-03-11T07:24:28Z</vt:lpwstr>
  </property>
  <property fmtid="{D5CDD505-2E9C-101B-9397-08002B2CF9AE}" pid="4" name="MSIP_Label_aadc1152-42be-423d-95e2-c7b94472e955_Method">
    <vt:lpwstr>Standard</vt:lpwstr>
  </property>
  <property fmtid="{D5CDD505-2E9C-101B-9397-08002B2CF9AE}" pid="5" name="MSIP_Label_aadc1152-42be-423d-95e2-c7b94472e955_Name">
    <vt:lpwstr>General Information</vt:lpwstr>
  </property>
  <property fmtid="{D5CDD505-2E9C-101B-9397-08002B2CF9AE}" pid="6" name="MSIP_Label_aadc1152-42be-423d-95e2-c7b94472e955_SiteId">
    <vt:lpwstr>e2c455c8-ae1c-44c3-99c4-92f90dcd0e07</vt:lpwstr>
  </property>
  <property fmtid="{D5CDD505-2E9C-101B-9397-08002B2CF9AE}" pid="7" name="MSIP_Label_aadc1152-42be-423d-95e2-c7b94472e955_ActionId">
    <vt:lpwstr>dbc0cec3-241f-4389-9bf5-318b30a61f42</vt:lpwstr>
  </property>
  <property fmtid="{D5CDD505-2E9C-101B-9397-08002B2CF9AE}" pid="8" name="MSIP_Label_aadc1152-42be-423d-95e2-c7b94472e955_ContentBits">
    <vt:lpwstr>0</vt:lpwstr>
  </property>
  <property fmtid="{D5CDD505-2E9C-101B-9397-08002B2CF9AE}" pid="9" name="MSIP_Label_aadc1152-42be-423d-95e2-c7b94472e955_Tag">
    <vt:lpwstr>10, 3, 0, 1</vt:lpwstr>
  </property>
</Properties>
</file>